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4516" yWindow="65308" windowWidth="12384" windowHeight="7248" tabRatio="795" firstSheet="7" activeTab="3"/>
  </bookViews>
  <sheets>
    <sheet name="Title_Tier2" sheetId="1" r:id="rId1"/>
    <sheet name="dialog3" sheetId="2" r:id="rId2"/>
    <sheet name="Source Zone_anal" sheetId="3" r:id="rId3"/>
    <sheet name="Input" sheetId="4" r:id="rId4"/>
    <sheet name="Centerline Output" sheetId="5" r:id="rId5"/>
    <sheet name="Plume Output" sheetId="6" r:id="rId6"/>
    <sheet name="SurfaceWat_loading" sheetId="7" r:id="rId7"/>
    <sheet name="Prediction" sheetId="8" r:id="rId8"/>
    <sheet name="Remediation_Work_flow_1" sheetId="9" r:id="rId9"/>
    <sheet name="Calc_Flow_1" sheetId="10" r:id="rId10"/>
    <sheet name="steady_state" sheetId="11" r:id="rId11"/>
    <sheet name="TierIIwill" sheetId="12" r:id="rId12"/>
    <sheet name="Chemical List" sheetId="13" r:id="rId13"/>
  </sheets>
  <externalReferences>
    <externalReference r:id="rId16"/>
    <externalReference r:id="rId17"/>
    <externalReference r:id="rId18"/>
  </externalReferences>
  <definedNames>
    <definedName name="AB" localSheetId="1">'[2]InputOutput'!#REF!</definedName>
    <definedName name="alpha.x">'Input'!$E$12</definedName>
    <definedName name="alpha.y">'Input'!$E$13</definedName>
    <definedName name="alpha.z">'Input'!$E$78</definedName>
    <definedName name="alpha.zorig">'Input'!$E$14</definedName>
    <definedName name="bioc.1">'Input'!$T$49</definedName>
    <definedName name="bioc.2">'Input'!$T$50</definedName>
    <definedName name="bioc.3">'Input'!$T$51</definedName>
    <definedName name="biodegcap">'Input'!$F$57</definedName>
    <definedName name="C.1">'Input'!$Q$49</definedName>
    <definedName name="C.2">'Input'!$Q$50</definedName>
    <definedName name="C.3">'Input'!$Q$51</definedName>
    <definedName name="C_target">'steady_state'!$I$35</definedName>
    <definedName name="CenterFit">'Centerline Output'!$A$1:$L$1</definedName>
    <definedName name="Cgw_source">'Source Zone_anal'!$G$55</definedName>
    <definedName name="chemical_selec">'Input'!$E$19</definedName>
    <definedName name="ChemicalData">'Chemical List'!$B$8:$N$36</definedName>
    <definedName name="chemicals">'Chemical List'!$B$8:$B$36</definedName>
    <definedName name="chitest_direct">'Input'!$F$90</definedName>
    <definedName name="chitest_instreaction">'Input'!$F$92</definedName>
    <definedName name="chitest_normal">'Input'!$F$91</definedName>
    <definedName name="CL_busch">'steady_state'!$J$6</definedName>
    <definedName name="CLBio">'Centerline Output'!$B$110:$L$110</definedName>
    <definedName name="CLDcy">'Centerline Output'!$B$87:$L$87</definedName>
    <definedName name="CLNoDcy">'Centerline Output'!$B$78:$L$78</definedName>
    <definedName name="Co.1">'Input'!$I$13</definedName>
    <definedName name="Co.2">'Input'!$I$14</definedName>
    <definedName name="Co.3">'Input'!$I$15</definedName>
    <definedName name="COavg">'Input'!$F$65</definedName>
    <definedName name="coavginst">'Input'!$F$70</definedName>
    <definedName name="const1">'Plume Output'!$C$48</definedName>
    <definedName name="const2">'Plume Output'!$C$49</definedName>
    <definedName name="const3">'Plume Output'!$C$98</definedName>
    <definedName name="D.O.">'Input'!$E$33</definedName>
    <definedName name="D_sw">'SurfaceWat_loading'!$M$26</definedName>
    <definedName name="De" localSheetId="1">'[3]SOILMOD'!#REF!</definedName>
    <definedName name="defaultmodel">'Plume Output'!$P$5</definedName>
    <definedName name="delx" localSheetId="4">'Plume Output'!$G$16/10</definedName>
    <definedName name="delx">'Plume Output'!$G$16/10</definedName>
    <definedName name="dely">'Plume Output'!$G$17/4</definedName>
    <definedName name="DensityValue">'Plume Output'!$T$34</definedName>
    <definedName name="Depth" localSheetId="1">'[3]SOILMOD'!#REF!</definedName>
    <definedName name="dh2o" localSheetId="1">#REF!</definedName>
    <definedName name="dHc" localSheetId="1">'[2]InputOutput'!#REF!</definedName>
    <definedName name="diff_1_decay">'Prediction'!$Y$25</definedName>
    <definedName name="diff_1_inst">'Prediction'!$Y$26</definedName>
    <definedName name="diff_1_nodeg">'Prediction'!$Y$24</definedName>
    <definedName name="diff_2_decay">'Prediction'!$Y$29</definedName>
    <definedName name="diff_2_inst">'Prediction'!$Y$30</definedName>
    <definedName name="diff_2_nodeg">'Prediction'!$Y$28</definedName>
    <definedName name="differ_source">'steady_state'!$G$117</definedName>
    <definedName name="DP" localSheetId="1">'[2]InputOutput'!#REF!</definedName>
    <definedName name="DUR" localSheetId="1">'[2]DC_InputOutput'!#REF!</definedName>
    <definedName name="dx_center">'Prediction'!$AO$78</definedName>
    <definedName name="EABM_Nos">'Plume Output'!$I$28:$M$28</definedName>
    <definedName name="EABM_Text">'Plume Output'!$I$26:$N$28</definedName>
    <definedName name="erfcconst1">'Centerline Output'!$E$60</definedName>
    <definedName name="erfcconst1_1">'Prediction'!$AE$37</definedName>
    <definedName name="erfcconst2">'Centerline Output'!$E$61</definedName>
    <definedName name="erfcconst2_1">'Prediction'!$AE$38</definedName>
    <definedName name="erfcconst2_2">'Prediction'!$AD$79</definedName>
    <definedName name="erfcconst3">'Centerline Output'!$G$81</definedName>
    <definedName name="erfcconst3_1">'Prediction'!$AD$60</definedName>
    <definedName name="eta" localSheetId="1">'[2]InputOutput'!#REF!</definedName>
    <definedName name="Fe">'Input'!$E$36</definedName>
    <definedName name="FirstPMass">'Plume Output'!$P$107</definedName>
    <definedName name="fit_1d">'steady_state'!$A$1:$L$1</definedName>
    <definedName name="fit_answer">'TierIIwill'!$A$1:$M$1</definedName>
    <definedName name="fit_chemical_list">'Chemical List'!$A$1:$N$1</definedName>
    <definedName name="fit_flow">'Remediation_Work_flow_1'!$A$2:$N$2</definedName>
    <definedName name="fit_module">'Calc_Flow_1'!$A$2:$Q$2</definedName>
    <definedName name="fit_prediction">'Prediction'!$A$1:$R$1</definedName>
    <definedName name="fit_source">'Source Zone_anal'!$A$1:$S$1</definedName>
    <definedName name="fit_SWLoad">'SurfaceWat_loading'!$A$1:$M$1</definedName>
    <definedName name="fit_title">'Title_Tier2'!$A$1:$I$1</definedName>
    <definedName name="FitTheScreen">'Plume Output'!$A$1:$N$1</definedName>
    <definedName name="FitThisA">'Input'!$A$1:$U$1</definedName>
    <definedName name="Flux">'Input'!$F$66</definedName>
    <definedName name="fluxinst">'Input'!$F$71</definedName>
    <definedName name="foc">'Input'!$E$24</definedName>
    <definedName name="FOE" localSheetId="1">'[2]DC_InputOutput'!#REF!</definedName>
    <definedName name="FracBIOD1st">'Plume Output'!$P$110</definedName>
    <definedName name="FracBIODInst">'Plume Output'!$P$128</definedName>
    <definedName name="H" localSheetId="1">#REF!</definedName>
    <definedName name="HB" localSheetId="1">'[2]InputOutput'!#REF!</definedName>
    <definedName name="hcap" localSheetId="1">'[2]InputOutput'!#REF!</definedName>
    <definedName name="He" localSheetId="1">'[3]SOILMOD'!#REF!</definedName>
    <definedName name="HLinst">'Input'!$I$72</definedName>
    <definedName name="HLNo1st">'Input'!$I$68</definedName>
    <definedName name="home">'Input'!$A$1</definedName>
    <definedName name="i">'Input'!$E$8</definedName>
    <definedName name="InstOrigMass">'Plume Output'!$P$114</definedName>
    <definedName name="InstorigPMass">'Plume Output'!$P$119</definedName>
    <definedName name="InstPMass">'Plume Output'!$P$124</definedName>
    <definedName name="intercept_steady">'steady_state'!$D$17</definedName>
    <definedName name="jean1">'Prediction'!$W$24</definedName>
    <definedName name="jean2">'Prediction'!$W$25</definedName>
    <definedName name="jean3">'Prediction'!$W$26</definedName>
    <definedName name="jean4">'Prediction'!$W$28</definedName>
    <definedName name="jean5">'Prediction'!$W$29</definedName>
    <definedName name="jean6">'Prediction'!$W$30</definedName>
    <definedName name="K">'Input'!$E$7</definedName>
    <definedName name="Koc">'Input'!$E$23</definedName>
    <definedName name="ksource">'Input'!$F$67</definedName>
    <definedName name="ksourceinst">'Input'!$F$72</definedName>
    <definedName name="kv" localSheetId="1">'[2]InputOutput'!#REF!</definedName>
    <definedName name="L">'Plume Output'!$G$16</definedName>
    <definedName name="lambda">'Input'!$E$28</definedName>
    <definedName name="lambda_steady">'steady_state'!$D$27</definedName>
    <definedName name="Lcrack" localSheetId="1">'[2]InputOutput'!#REF!</definedName>
    <definedName name="Lgw" localSheetId="1">'[2]InputOutput'!#REF!</definedName>
    <definedName name="log_dt">'Prediction'!$AT$77</definedName>
    <definedName name="LT" localSheetId="1">'[2]InputOutput'!#REF!</definedName>
    <definedName name="LTO" localSheetId="1">'[2]InputOutput'!#REF!</definedName>
    <definedName name="MainMatrix">'Plume Output'!$A$1</definedName>
    <definedName name="Mass_in_Source_Now">'Plume Output'!$M$31</definedName>
    <definedName name="max_vgw">'steady_state'!$I$8</definedName>
    <definedName name="methan">'Input'!$E$38</definedName>
    <definedName name="min_vgw">'steady_state'!$I$7</definedName>
    <definedName name="Mn">'Input'!$E$35</definedName>
    <definedName name="Mo" localSheetId="1">'[3]SOILMOD'!#REF!</definedName>
    <definedName name="Mremv1_1stdeg">'Prediction'!$Q$25</definedName>
    <definedName name="Mremv1_instdeg">'Prediction'!$Q$26</definedName>
    <definedName name="Mremv1_nodeg">'Prediction'!$Q$24</definedName>
    <definedName name="Mremv2_1stdeg">'Prediction'!$Q$29</definedName>
    <definedName name="Mremv2_instdeg">'Prediction'!$Q$30</definedName>
    <definedName name="Mremv2_nodeg">'Prediction'!$Q$28</definedName>
    <definedName name="Msource">'Source Zone_anal'!$H$56</definedName>
    <definedName name="Mtarget1_1stdeg">'Prediction'!$P$25</definedName>
    <definedName name="Mtarget1_instdeg">'Prediction'!$P$26</definedName>
    <definedName name="Mtarget1_nodeg">'Prediction'!$P$24</definedName>
    <definedName name="Mtarget2_1stdeg">'Prediction'!$P$29</definedName>
    <definedName name="Mtarget2_instdeg">'Prediction'!$P$30</definedName>
    <definedName name="Mtarget2_nodeg">'Prediction'!$P$28</definedName>
    <definedName name="n">'Input'!$E$9</definedName>
    <definedName name="NO3">'Input'!$E$34</definedName>
    <definedName name="NoDegMass">'Plume Output'!$P$91</definedName>
    <definedName name="NoDegPMass">'Plume Output'!$P$94</definedName>
    <definedName name="Oa" localSheetId="1">'[3]SOILMOD'!#REF!</definedName>
    <definedName name="OLE_LINK1" localSheetId="11">'TierIIwill'!$A$3</definedName>
    <definedName name="Ow" localSheetId="1">'[3]SOILMOD'!#REF!</definedName>
    <definedName name="park" localSheetId="1">'[1]SOILMOD'!#REF!</definedName>
    <definedName name="park1">'Prediction'!$X$24</definedName>
    <definedName name="Park2">'Prediction'!$X$25</definedName>
    <definedName name="Park3">'Prediction'!$X$26</definedName>
    <definedName name="Park4">'Prediction'!$X$28</definedName>
    <definedName name="Park5">'Prediction'!$X$29</definedName>
    <definedName name="Park6">'Prediction'!$X$30</definedName>
    <definedName name="PlumeCenter">'Centerline Output'!$A$1</definedName>
    <definedName name="PlumeLength">'Input'!$E$16</definedName>
    <definedName name="_xlnm.Print_Area" localSheetId="4">'Centerline Output'!$A$1:$M$53</definedName>
    <definedName name="_xlnm.Print_Area" localSheetId="12">'Chemical List'!$A$1:$N$35</definedName>
    <definedName name="_xlnm.Print_Area" localSheetId="5">'Plume Output'!$A$1:$N$37</definedName>
    <definedName name="_xlnm.Print_Area" localSheetId="7">'Prediction'!$A$1:$R$92</definedName>
    <definedName name="_xlnm.Print_Area" localSheetId="2">'Source Zone_anal'!$A$1:$S$57</definedName>
    <definedName name="_xlnm.Print_Area" localSheetId="10">'steady_state'!$A$1:$L$62</definedName>
    <definedName name="_xlnm.Print_Area" localSheetId="6">'SurfaceWat_loading'!$A$1:$N$37</definedName>
    <definedName name="_xlnm.Print_Area" localSheetId="11">'TierIIwill'!$A$6:$N$68</definedName>
    <definedName name="_xlnm.Print_Area" localSheetId="0">'Title_Tier2'!$B$2:$H$20</definedName>
    <definedName name="Q">'Input'!$F$64</definedName>
    <definedName name="Ret">'Input'!$E$20</definedName>
    <definedName name="rho">'Input'!$E$22</definedName>
    <definedName name="site_address">'Input'!$I$2</definedName>
    <definedName name="site_des">'Input'!$I$3</definedName>
    <definedName name="site_name">'Input'!$I$1</definedName>
    <definedName name="SO4">'Input'!$E$37</definedName>
    <definedName name="Solthalf">'Input'!$E$30</definedName>
    <definedName name="solver_adj" localSheetId="12" hidden="1">'Chemical List'!#REF!,'Chemical List'!#REF!</definedName>
    <definedName name="solver_adj" localSheetId="3" hidden="1">'Input'!$E$28</definedName>
    <definedName name="solver_adj" localSheetId="7" hidden="1">'Prediction'!$O$8</definedName>
    <definedName name="solver_adj" localSheetId="6" hidden="1">'SurfaceWat_loading'!#REF!</definedName>
    <definedName name="solver_cvg" localSheetId="12" hidden="1">0.001</definedName>
    <definedName name="solver_cvg" localSheetId="3" hidden="1">0.0001</definedName>
    <definedName name="solver_cvg" localSheetId="7" hidden="1">0.0001</definedName>
    <definedName name="solver_cvg" localSheetId="6" hidden="1">0.0001</definedName>
    <definedName name="solver_drv" localSheetId="12" hidden="1">1</definedName>
    <definedName name="solver_drv" localSheetId="3" hidden="1">1</definedName>
    <definedName name="solver_drv" localSheetId="7" hidden="1">1</definedName>
    <definedName name="solver_drv" localSheetId="6" hidden="1">1</definedName>
    <definedName name="solver_est" localSheetId="12" hidden="1">1</definedName>
    <definedName name="solver_est" localSheetId="3" hidden="1">1</definedName>
    <definedName name="solver_est" localSheetId="7" hidden="1">1</definedName>
    <definedName name="solver_est" localSheetId="6" hidden="1">1</definedName>
    <definedName name="solver_itr" localSheetId="12" hidden="1">100</definedName>
    <definedName name="solver_itr" localSheetId="3" hidden="1">250</definedName>
    <definedName name="solver_itr" localSheetId="7" hidden="1">100</definedName>
    <definedName name="solver_itr" localSheetId="6" hidden="1">250</definedName>
    <definedName name="solver_lhs1" localSheetId="12" hidden="1">'Chemical List'!#REF!</definedName>
    <definedName name="solver_lhs1" localSheetId="3" hidden="1">'Input'!$E$28</definedName>
    <definedName name="solver_lhs1" localSheetId="6" hidden="1">'SurfaceWat_loading'!#REF!</definedName>
    <definedName name="solver_lhs2" localSheetId="12" hidden="1">'Chemical List'!#REF!</definedName>
    <definedName name="solver_lhs2" localSheetId="6" hidden="1">'SurfaceWat_loading'!#REF!</definedName>
    <definedName name="solver_lhs3" localSheetId="12" hidden="1">'Chemical List'!#REF!</definedName>
    <definedName name="solver_lin" localSheetId="12" hidden="1">2</definedName>
    <definedName name="solver_lin" localSheetId="3" hidden="1">2</definedName>
    <definedName name="solver_lin" localSheetId="7" hidden="1">2</definedName>
    <definedName name="solver_lin" localSheetId="6" hidden="1">2</definedName>
    <definedName name="solver_neg" localSheetId="12" hidden="1">2</definedName>
    <definedName name="solver_neg" localSheetId="3" hidden="1">2</definedName>
    <definedName name="solver_neg" localSheetId="7" hidden="1">2</definedName>
    <definedName name="solver_neg" localSheetId="6" hidden="1">2</definedName>
    <definedName name="solver_num" localSheetId="12" hidden="1">2</definedName>
    <definedName name="solver_num" localSheetId="3" hidden="1">1</definedName>
    <definedName name="solver_num" localSheetId="7" hidden="1">0</definedName>
    <definedName name="solver_num" localSheetId="6" hidden="1">1</definedName>
    <definedName name="solver_nwt" localSheetId="12" hidden="1">1</definedName>
    <definedName name="solver_nwt" localSheetId="3" hidden="1">1</definedName>
    <definedName name="solver_nwt" localSheetId="7" hidden="1">1</definedName>
    <definedName name="solver_nwt" localSheetId="6" hidden="1">1</definedName>
    <definedName name="solver_opt" localSheetId="12" hidden="1">'Chemical List'!#REF!</definedName>
    <definedName name="solver_opt" localSheetId="3" hidden="1">'Input'!$F$91</definedName>
    <definedName name="solver_opt" localSheetId="7" hidden="1">'Prediction'!$Y$30</definedName>
    <definedName name="solver_opt" localSheetId="6" hidden="1">'SurfaceWat_loading'!#REF!</definedName>
    <definedName name="solver_pre" localSheetId="12" hidden="1">0.001</definedName>
    <definedName name="solver_pre" localSheetId="3" hidden="1">0.00001</definedName>
    <definedName name="solver_pre" localSheetId="7" hidden="1">0.0001</definedName>
    <definedName name="solver_pre" localSheetId="6" hidden="1">0.00001</definedName>
    <definedName name="solver_rel1" localSheetId="12" hidden="1">2</definedName>
    <definedName name="solver_rel1" localSheetId="3" hidden="1">3</definedName>
    <definedName name="solver_rel1" localSheetId="6" hidden="1">3</definedName>
    <definedName name="solver_rel2" localSheetId="12" hidden="1">2</definedName>
    <definedName name="solver_rel2" localSheetId="6" hidden="1">3</definedName>
    <definedName name="solver_rel3" localSheetId="12" hidden="1">2</definedName>
    <definedName name="solver_rhs1" localSheetId="12" hidden="1">0</definedName>
    <definedName name="solver_rhs1" localSheetId="3" hidden="1">0.000001</definedName>
    <definedName name="solver_rhs1" localSheetId="6" hidden="1">0.000001</definedName>
    <definedName name="solver_rhs2" localSheetId="12" hidden="1">0</definedName>
    <definedName name="solver_rhs2" localSheetId="6" hidden="1">0</definedName>
    <definedName name="solver_rhs3" localSheetId="12" hidden="1">0</definedName>
    <definedName name="solver_scl" localSheetId="12" hidden="1">2</definedName>
    <definedName name="solver_scl" localSheetId="3" hidden="1">2</definedName>
    <definedName name="solver_scl" localSheetId="7" hidden="1">2</definedName>
    <definedName name="solver_scl" localSheetId="6" hidden="1">2</definedName>
    <definedName name="solver_sho" localSheetId="12" hidden="1">2</definedName>
    <definedName name="solver_sho" localSheetId="3" hidden="1">2</definedName>
    <definedName name="solver_sho" localSheetId="7" hidden="1">2</definedName>
    <definedName name="solver_sho" localSheetId="6" hidden="1">2</definedName>
    <definedName name="solver_tim" localSheetId="12" hidden="1">100</definedName>
    <definedName name="solver_tim" localSheetId="3" hidden="1">100</definedName>
    <definedName name="solver_tim" localSheetId="7" hidden="1">100</definedName>
    <definedName name="solver_tim" localSheetId="6" hidden="1">100</definedName>
    <definedName name="solver_tol" localSheetId="12" hidden="1">0.05</definedName>
    <definedName name="solver_tol" localSheetId="3" hidden="1">0.05</definedName>
    <definedName name="solver_tol" localSheetId="7" hidden="1">0.05</definedName>
    <definedName name="solver_tol" localSheetId="6" hidden="1">0.05</definedName>
    <definedName name="solver_typ" localSheetId="12" hidden="1">3</definedName>
    <definedName name="solver_typ" localSheetId="3" hidden="1">1</definedName>
    <definedName name="solver_typ" localSheetId="7" hidden="1">3</definedName>
    <definedName name="solver_typ" localSheetId="6" hidden="1">2</definedName>
    <definedName name="solver_val" localSheetId="12" hidden="1">0</definedName>
    <definedName name="solver_val" localSheetId="3" hidden="1">0</definedName>
    <definedName name="solver_val" localSheetId="7" hidden="1">0</definedName>
    <definedName name="solver_val" localSheetId="6" hidden="1">0</definedName>
    <definedName name="source_backward">'steady_state'!$G$116</definedName>
    <definedName name="source_backward_1">'steady_state'!$J$116</definedName>
    <definedName name="Source_current">'steady_state'!$D$9</definedName>
    <definedName name="source_dec">'SurfaceWat_loading'!$F$105</definedName>
    <definedName name="sourcehalflife">'Input'!$I$19</definedName>
    <definedName name="steady_x">'steady_state'!$F$107</definedName>
    <definedName name="surface_con">'Prediction'!$AD$107</definedName>
    <definedName name="t">'Input'!$J$7</definedName>
    <definedName name="t_max">'Prediction'!$W$32</definedName>
    <definedName name="t_receptor1">'Prediction'!$EJ$40</definedName>
    <definedName name="t_sim">'Prediction'!$O$8</definedName>
    <definedName name="t_siml">'Prediction'!$L$59</definedName>
    <definedName name="t_simulation">'Plume Output'!$K$15</definedName>
    <definedName name="t_start">'Prediction'!$O$7</definedName>
    <definedName name="t_steady">'steady_state'!$C$38</definedName>
    <definedName name="t_SWLoad">'SurfaceWat_loading'!$M$23</definedName>
    <definedName name="t_temp">'Prediction'!$W$20</definedName>
    <definedName name="t1_1stDeg">'Prediction'!$O$25</definedName>
    <definedName name="t1_dist">'Prediction'!$AL$79</definedName>
    <definedName name="t1_inst">'Prediction'!$O$26</definedName>
    <definedName name="t1_log">'Prediction'!$AR$79</definedName>
    <definedName name="t1_noDeg">'Prediction'!$O$24</definedName>
    <definedName name="t1_nor">'Prediction'!$AX$79</definedName>
    <definedName name="t2_1stDeg">'Prediction'!$O$29</definedName>
    <definedName name="t2_dist">'Prediction'!$BH$79</definedName>
    <definedName name="t2_instDeg">'Prediction'!$O$30</definedName>
    <definedName name="t2_log">'Prediction'!$AS$79</definedName>
    <definedName name="t2_noDeg">'Prediction'!$O$28</definedName>
    <definedName name="t2_nor">'Prediction'!$AY$79</definedName>
    <definedName name="t3_dist">'Prediction'!$CD$79</definedName>
    <definedName name="t3_log">'Prediction'!$AT$79</definedName>
    <definedName name="t3_nor">'Prediction'!$AZ$79</definedName>
    <definedName name="t4_dist">'Prediction'!$CZ$79</definedName>
    <definedName name="t4_log">'Prediction'!$AU$79</definedName>
    <definedName name="t4_nor">'Prediction'!$BA$79</definedName>
    <definedName name="t5_dist">'Prediction'!$DV$79</definedName>
    <definedName name="t5_log">'Prediction'!$AV$79</definedName>
    <definedName name="t5_nor">'Prediction'!$BB$79</definedName>
    <definedName name="target">'Centerline Output'!$AA$12</definedName>
    <definedName name="target_conc_1d">'steady_state'!$G$36</definedName>
    <definedName name="Target_Level">'Plume Output'!$G$15</definedName>
    <definedName name="tgt_conc_1D">'steady_state'!$J$38</definedName>
    <definedName name="Total_Mass">'Input'!$I$21</definedName>
    <definedName name="TOTAL_MASS__KG">'Plume Output'!$P$107</definedName>
    <definedName name="total_mass1">'Prediction'!$Y$20</definedName>
    <definedName name="UCF1" localSheetId="1">'[2]DC_InputOutput'!#REF!</definedName>
    <definedName name="Vbuilding" localSheetId="1">'[2]InputOutput'!#REF!</definedName>
    <definedName name="Vc">'Input'!$E$5/Ret</definedName>
    <definedName name="Vert._Disp._Multiplier">'Plume Output'!$P$89</definedName>
    <definedName name="Vs">'Input'!$E$5</definedName>
    <definedName name="Vw">'Centerline Output'!$B$61</definedName>
    <definedName name="W">'Plume Output'!$G$17</definedName>
    <definedName name="W_sw">'SurfaceWat_loading'!$M$25</definedName>
    <definedName name="whichmodel">'Plume Output'!$P$7</definedName>
    <definedName name="WhichPlot">'Plume Output'!$Q$7</definedName>
    <definedName name="X">'Centerline Output'!$11:$11</definedName>
    <definedName name="x_center">'Prediction'!$L$58</definedName>
    <definedName name="x_loc">'steady_state'!$C$36</definedName>
    <definedName name="X_SWLoad">'SurfaceWat_loading'!$M$24</definedName>
    <definedName name="Y.1">'Input'!$L$49</definedName>
    <definedName name="Y.2">'Input'!$L$50</definedName>
    <definedName name="Y.3">'Input'!$L$51</definedName>
    <definedName name="y_loc">'steady_state'!$C$37</definedName>
    <definedName name="Yo.1">'Input'!$H$13</definedName>
    <definedName name="Yo.2">'Input'!$H$14</definedName>
    <definedName name="Yo.3">'Input'!$H$15</definedName>
    <definedName name="Z" localSheetId="4">#REF!</definedName>
    <definedName name="Z">'Input'!$K$10</definedName>
    <definedName name="Zcrack" localSheetId="1">'[2]InputOutput'!#REF!</definedName>
    <definedName name="zone4C">'Input'!$I$16</definedName>
    <definedName name="zone4Y">'Input'!$H$16</definedName>
    <definedName name="zone5C">'Input'!$I$17</definedName>
    <definedName name="zone5Y">'Input'!$H$17</definedName>
  </definedNames>
  <calcPr fullCalcOnLoad="1"/>
</workbook>
</file>

<file path=xl/comments13.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3.xml><?xml version="1.0" encoding="utf-8"?>
<comments xmlns="http://schemas.openxmlformats.org/spreadsheetml/2006/main">
  <authors>
    <author>State of Washington</author>
  </authors>
  <commentList>
    <comment ref="B5" authorId="0">
      <text>
        <r>
          <rPr>
            <sz val="9"/>
            <rFont val="Tahoma"/>
            <family val="2"/>
          </rPr>
          <t>Thiessen Polygon network method  can be used to discretize the site into elements and to calculate the area/volume weighted soil and ground water concentrations of the different chemicals of concern so that one could calculate total  mass of contaminant at source zone available at certain time point.</t>
        </r>
      </text>
    </comment>
  </commentList>
</comments>
</file>

<file path=xl/comments4.xml><?xml version="1.0" encoding="utf-8"?>
<comments xmlns="http://schemas.openxmlformats.org/spreadsheetml/2006/main">
  <authors>
    <author>Hun Seak Park</author>
  </authors>
  <commentList>
    <comment ref="J24" authorId="0">
      <text>
        <r>
          <rPr>
            <sz val="8"/>
            <rFont val="Tahoma"/>
            <family val="2"/>
          </rPr>
          <t>This cell is for the source well always.</t>
        </r>
      </text>
    </comment>
    <comment ref="E28" authorId="0">
      <text>
        <r>
          <rPr>
            <b/>
            <sz val="8"/>
            <rFont val="Tahoma"/>
            <family val="2"/>
          </rPr>
          <t>Enter either a lambda best estimated or let the "SOLVER FUNCTION" find the best-fitting Lambda to field plume data entered to the right (via normalized concentration)</t>
        </r>
      </text>
    </comment>
    <comment ref="J7" authorId="0">
      <text>
        <r>
          <rPr>
            <b/>
            <sz val="8"/>
            <rFont val="Tahoma"/>
            <family val="2"/>
          </rPr>
          <t>The time the original release and the date the field data  as below were collected.</t>
        </r>
      </text>
    </comment>
    <comment ref="K10" authorId="0">
      <text>
        <r>
          <rPr>
            <b/>
            <sz val="8"/>
            <rFont val="Tahoma"/>
            <family val="2"/>
          </rPr>
          <t>the thickness (representative) of source dissolved zone. If no data for LUST site, enter 10 feet.</t>
        </r>
      </text>
    </comment>
    <comment ref="I21" authorId="0">
      <text>
        <r>
          <rPr>
            <b/>
            <sz val="8"/>
            <rFont val="Tahoma"/>
            <family val="2"/>
          </rPr>
          <t>soluble mass in the source zone is the addition of the dissolvable contaminants, free-phase NAPL, and residual NAPLs on saturated and smear zone soils;  for constant-source simulations, type "infinite"</t>
        </r>
      </text>
    </comment>
  </commentList>
</comments>
</file>

<file path=xl/comments5.xml><?xml version="1.0" encoding="utf-8"?>
<comments xmlns="http://schemas.openxmlformats.org/spreadsheetml/2006/main">
  <authors>
    <author>Hun Seak Park</author>
  </authors>
  <commentList>
    <comment ref="B14" authorId="0">
      <text>
        <r>
          <rPr>
            <b/>
            <sz val="8"/>
            <rFont val="Tahoma"/>
            <family val="2"/>
          </rPr>
          <t>Normalized concentration is a ratio of the concentrations at a down-gradient well over the source well.</t>
        </r>
        <r>
          <rPr>
            <sz val="8"/>
            <rFont val="Tahoma"/>
            <family val="2"/>
          </rPr>
          <t xml:space="preserve">
</t>
        </r>
      </text>
    </comment>
  </commentList>
</comments>
</file>

<file path=xl/comments6.xml><?xml version="1.0" encoding="utf-8"?>
<comments xmlns="http://schemas.openxmlformats.org/spreadsheetml/2006/main">
  <authors>
    <author>Ecology</author>
  </authors>
  <commentList>
    <comment ref="M20" authorId="0">
      <text>
        <r>
          <rPr>
            <sz val="8"/>
            <rFont val="Tahoma"/>
            <family val="2"/>
          </rPr>
          <t xml:space="preserve">The total amount of dissolved contaminant that has left the source zone.
</t>
        </r>
      </text>
    </comment>
    <comment ref="M24" authorId="0">
      <text>
        <r>
          <rPr>
            <b/>
            <sz val="8"/>
            <rFont val="Tahoma"/>
            <family val="2"/>
          </rPr>
          <t>The mass of contaminants that are biodegradaed.</t>
        </r>
      </text>
    </comment>
  </commentList>
</comments>
</file>

<file path=xl/comments7.xml><?xml version="1.0" encoding="utf-8"?>
<comments xmlns="http://schemas.openxmlformats.org/spreadsheetml/2006/main">
  <authors>
    <author>Hun Seak Park</author>
  </authors>
  <commentList>
    <comment ref="I27" authorId="0">
      <text>
        <r>
          <rPr>
            <sz val="14"/>
            <rFont val="Tahoma"/>
            <family val="2"/>
          </rPr>
          <t>alpha.z = alpha.x*0.025</t>
        </r>
      </text>
    </comment>
  </commentList>
</comments>
</file>

<file path=xl/comments8.xml><?xml version="1.0" encoding="utf-8"?>
<comments xmlns="http://schemas.openxmlformats.org/spreadsheetml/2006/main">
  <authors>
    <author>Hun Seak Park</author>
  </authors>
  <commentList>
    <comment ref="P20" authorId="0">
      <text>
        <r>
          <rPr>
            <b/>
            <sz val="8"/>
            <rFont val="Tahoma"/>
            <family val="2"/>
          </rPr>
          <t>Before reading the cells below, click the button to the top to conduct a right calculation.</t>
        </r>
      </text>
    </comment>
    <comment ref="O20" authorId="0">
      <text>
        <r>
          <rPr>
            <b/>
            <sz val="8"/>
            <rFont val="Tahoma"/>
            <family val="2"/>
          </rPr>
          <t>Before reading the cells below, click the button to the top to conduct a right calculation.</t>
        </r>
      </text>
    </comment>
  </commentList>
</comments>
</file>

<file path=xl/sharedStrings.xml><?xml version="1.0" encoding="utf-8"?>
<sst xmlns="http://schemas.openxmlformats.org/spreadsheetml/2006/main" count="1106" uniqueCount="715">
  <si>
    <t>1.  HYDROGEOLOGY</t>
  </si>
  <si>
    <t>Seepage Velocity*</t>
  </si>
  <si>
    <t>or</t>
  </si>
  <si>
    <t>Hydraulic Conductivity</t>
  </si>
  <si>
    <t>K</t>
  </si>
  <si>
    <t>Hydraulic Gradient</t>
  </si>
  <si>
    <t>i</t>
  </si>
  <si>
    <t xml:space="preserve">       (Don't enter any data).</t>
  </si>
  <si>
    <t>n</t>
  </si>
  <si>
    <t xml:space="preserve">2.  DISPERSION </t>
  </si>
  <si>
    <t>Source Zones:</t>
  </si>
  <si>
    <t>Longitudinal Dispersivity*</t>
  </si>
  <si>
    <t>Width* (ft)</t>
  </si>
  <si>
    <t>Transverse Dispersivity*</t>
  </si>
  <si>
    <t>Vertical Dispersivity*</t>
  </si>
  <si>
    <t>Estimated Plume Length</t>
  </si>
  <si>
    <t xml:space="preserve">3.  ADSORPTION </t>
  </si>
  <si>
    <t>Retardation Factor*</t>
  </si>
  <si>
    <t>R</t>
  </si>
  <si>
    <t>View of Plume Looking Down</t>
  </si>
  <si>
    <t>Inst. React.</t>
  </si>
  <si>
    <t>1st Order</t>
  </si>
  <si>
    <t>Soil Bulk Density</t>
  </si>
  <si>
    <t>Soluble Mass</t>
  </si>
  <si>
    <t>Partition Coefficient</t>
  </si>
  <si>
    <t>Koc</t>
  </si>
  <si>
    <t>Solute Half-Life</t>
  </si>
  <si>
    <t>DO</t>
  </si>
  <si>
    <t>Delta Nitrate*</t>
  </si>
  <si>
    <t>NO3</t>
  </si>
  <si>
    <t>Observed Ferrous Iron*</t>
  </si>
  <si>
    <t>Delta Sulfate*</t>
  </si>
  <si>
    <t>SO4</t>
  </si>
  <si>
    <t>Observed Methane*</t>
  </si>
  <si>
    <t xml:space="preserve">Note:  The area below is the calculation area for this screen.  Do not enter data into this area. </t>
  </si>
  <si>
    <t>Calculate Biodegradation Capacity</t>
  </si>
  <si>
    <t>List and Calculate Source Concentrations</t>
  </si>
  <si>
    <t>Electron</t>
  </si>
  <si>
    <t>Backgr.</t>
  </si>
  <si>
    <t>Biodeg</t>
  </si>
  <si>
    <t>%</t>
  </si>
  <si>
    <t>yo.1</t>
  </si>
  <si>
    <t>Y.1</t>
  </si>
  <si>
    <t>Co.1</t>
  </si>
  <si>
    <t>C.1</t>
  </si>
  <si>
    <t>bioc.1</t>
  </si>
  <si>
    <t>Acceptor</t>
  </si>
  <si>
    <t>Conc.</t>
  </si>
  <si>
    <t>Factor</t>
  </si>
  <si>
    <t>Capacity</t>
  </si>
  <si>
    <t>yo.2</t>
  </si>
  <si>
    <t>Y.2</t>
  </si>
  <si>
    <t>Co.2</t>
  </si>
  <si>
    <t>C.2</t>
  </si>
  <si>
    <t>bioc.2</t>
  </si>
  <si>
    <t>D.O.</t>
  </si>
  <si>
    <t>yo.3</t>
  </si>
  <si>
    <t>Y.3</t>
  </si>
  <si>
    <t>Co.3</t>
  </si>
  <si>
    <t>C.3</t>
  </si>
  <si>
    <t>bioc.3</t>
  </si>
  <si>
    <t>yo.1,yo.2, and yo.3 are original source width terms.  Y.1,Y.2, and Y.3 are total width</t>
  </si>
  <si>
    <t>Fe</t>
  </si>
  <si>
    <t>for the three source zones.  Similarly, Co.1,Co.2, and Co.3 are the original source</t>
  </si>
  <si>
    <t>concentrations entered by the user while C.1,C.2, and C.3 are the net source</t>
  </si>
  <si>
    <t>Methan</t>
  </si>
  <si>
    <t xml:space="preserve">contribution for each source zone.  Bioc.1, bioc.2, bioc.3 are C.1,C.2, and C.3 </t>
  </si>
  <si>
    <t>mg/L</t>
  </si>
  <si>
    <t>adjusted to include the contribution of source area "instantaneous" reactions.</t>
  </si>
  <si>
    <t>Note that Bioc.1, Bioc.2, and Bioc.3 are higher than observed concentrations</t>
  </si>
  <si>
    <t xml:space="preserve">Co.1, Co.2, and Co.3 because instantaneous reaction assumes that </t>
  </si>
  <si>
    <t>reaction is occuring in source zone.  When biodeg capacity is substracted from</t>
  </si>
  <si>
    <t>bioc.x at source, this leads to observed source concentration Co.x</t>
  </si>
  <si>
    <t>Source Decay</t>
  </si>
  <si>
    <t>For no deg model &amp;</t>
  </si>
  <si>
    <t>Total_Mass</t>
  </si>
  <si>
    <t>kg</t>
  </si>
  <si>
    <t xml:space="preserve">Rounded Source Halflifes.  Note source halflife for instantaneous </t>
  </si>
  <si>
    <t>1st order model:</t>
  </si>
  <si>
    <t>Q</t>
  </si>
  <si>
    <t>L/yr</t>
  </si>
  <si>
    <t>reaction is lower than for no decay or 1st order decay because</t>
  </si>
  <si>
    <t>(k is the source zone</t>
  </si>
  <si>
    <t>Coavg</t>
  </si>
  <si>
    <t xml:space="preserve">assumed source concs. before biodeg (Bioc.x) are higher than </t>
  </si>
  <si>
    <t xml:space="preserve">halflife.  It is not related to </t>
  </si>
  <si>
    <t>Flux</t>
  </si>
  <si>
    <t>Kg/yr</t>
  </si>
  <si>
    <t>observed source conc (Co.x)</t>
  </si>
  <si>
    <t xml:space="preserve">lambda, the dissolved </t>
  </si>
  <si>
    <t>k</t>
  </si>
  <si>
    <t>1/yr</t>
  </si>
  <si>
    <t>phase constituent halflife)</t>
  </si>
  <si>
    <t>sourcehalf</t>
  </si>
  <si>
    <t>yr</t>
  </si>
  <si>
    <t>HalflifeNODEG1st</t>
  </si>
  <si>
    <t>Source halflife with no biodegradation or first order decay</t>
  </si>
  <si>
    <t>For Inst. Reaction Model:</t>
  </si>
  <si>
    <t>CoavgInst</t>
  </si>
  <si>
    <t>(No biodegradation in source area)(Rounded)</t>
  </si>
  <si>
    <t>FluxInst</t>
  </si>
  <si>
    <t>kinst</t>
  </si>
  <si>
    <t>HalflifeINST</t>
  </si>
  <si>
    <t xml:space="preserve">halflife if the instantaneous </t>
  </si>
  <si>
    <t>sourcehalfinst</t>
  </si>
  <si>
    <t>Source halflife with instantaneous reaction</t>
  </si>
  <si>
    <t>reaction is selected).</t>
  </si>
  <si>
    <t>(Biodeg in source zone)(Rounded)</t>
  </si>
  <si>
    <t>Revised Vertical Dispersivity to allow 0 input</t>
  </si>
  <si>
    <t>Revised alpha.z so that</t>
  </si>
  <si>
    <t>Alpha.z</t>
  </si>
  <si>
    <t>if cell E14 = 0 then</t>
  </si>
  <si>
    <t>alpha.z=1.e-99</t>
  </si>
  <si>
    <t xml:space="preserve">Summary table for mass computations </t>
  </si>
  <si>
    <t>No Degradation</t>
  </si>
  <si>
    <t>1st Order Decay</t>
  </si>
  <si>
    <t>Inst. Reaction</t>
  </si>
  <si>
    <t>Field Data from Site</t>
  </si>
  <si>
    <t>Row used for Field</t>
  </si>
  <si>
    <t>Data Graph:</t>
  </si>
  <si>
    <t>erfcconst1</t>
  </si>
  <si>
    <t>erfcconst2</t>
  </si>
  <si>
    <t>No Decay</t>
  </si>
  <si>
    <t>exp</t>
  </si>
  <si>
    <t>inerfc</t>
  </si>
  <si>
    <t>erfc</t>
  </si>
  <si>
    <t>inlasterf</t>
  </si>
  <si>
    <t>2*lasteft</t>
  </si>
  <si>
    <t>Y1</t>
  </si>
  <si>
    <t>Conc. Y.1</t>
  </si>
  <si>
    <t>Conc. Y.2</t>
  </si>
  <si>
    <t>Conc. Y.3</t>
  </si>
  <si>
    <t>Time from Source (yrs)</t>
  </si>
  <si>
    <t>erfcconst3</t>
  </si>
  <si>
    <t>With General 1st Order Decay</t>
  </si>
  <si>
    <t>Instantaneous Reaction</t>
  </si>
  <si>
    <t xml:space="preserve">Revised </t>
  </si>
  <si>
    <t>bioC.1</t>
  </si>
  <si>
    <t>Needed to get orginal concentration in source zone</t>
  </si>
  <si>
    <t>Concentration</t>
  </si>
  <si>
    <t>bioC.2</t>
  </si>
  <si>
    <t>Corresponds to instantenous reaction in source zone</t>
  </si>
  <si>
    <t>With Inst. Reaction</t>
  </si>
  <si>
    <t>bioC.3</t>
  </si>
  <si>
    <t>In Source Zone</t>
  </si>
  <si>
    <t>New Pre-Decay</t>
  </si>
  <si>
    <t>Transverse</t>
  </si>
  <si>
    <t>t</t>
  </si>
  <si>
    <t>whichmodel=</t>
  </si>
  <si>
    <t>WhichPlot</t>
  </si>
  <si>
    <t>MASS</t>
  </si>
  <si>
    <t>FLUX</t>
  </si>
  <si>
    <t xml:space="preserve">Mass Balances </t>
  </si>
  <si>
    <t>In grams</t>
  </si>
  <si>
    <t>(mg/day)</t>
  </si>
  <si>
    <t>Plume and Source Masses (Order-of-Magnitude Accuracy)</t>
  </si>
  <si>
    <t>Oxygen</t>
  </si>
  <si>
    <t>Nitrate</t>
  </si>
  <si>
    <t>Sulfate</t>
  </si>
  <si>
    <t>Methane</t>
  </si>
  <si>
    <t>Benzene</t>
  </si>
  <si>
    <t>Ethylbenzene</t>
  </si>
  <si>
    <t>Toluene</t>
  </si>
  <si>
    <t>const1</t>
  </si>
  <si>
    <t>const2</t>
  </si>
  <si>
    <t>const3</t>
  </si>
  <si>
    <t>inerfz</t>
  </si>
  <si>
    <t>2*erfz</t>
  </si>
  <si>
    <t>Yrs from source</t>
  </si>
  <si>
    <t>Conc Y.1</t>
  </si>
  <si>
    <t>Conc Y.2</t>
  </si>
  <si>
    <t>Conc Y.3</t>
  </si>
  <si>
    <t>TOTAL MASS FROM SOURCE (KG)</t>
  </si>
  <si>
    <t>TOTAL</t>
  </si>
  <si>
    <t>TOTAL MASS (KG)</t>
  </si>
  <si>
    <t>FracBIOD1st:</t>
  </si>
  <si>
    <t>INST.</t>
  </si>
  <si>
    <t>Reaction</t>
  </si>
  <si>
    <t>Model</t>
  </si>
  <si>
    <t>Before</t>
  </si>
  <si>
    <t>Degrad.</t>
  </si>
  <si>
    <t>INST</t>
  </si>
  <si>
    <t>Final</t>
  </si>
  <si>
    <t>Concent.</t>
  </si>
  <si>
    <t>FracBIODInst:</t>
  </si>
  <si>
    <t>arith mean</t>
  </si>
  <si>
    <t xml:space="preserve">ROW </t>
  </si>
  <si>
    <t>geo mean</t>
  </si>
  <si>
    <t>Contaminant Velocity*</t>
  </si>
  <si>
    <t>Effective Porosity</t>
  </si>
  <si>
    <t>ft/yr</t>
  </si>
  <si>
    <t>Units</t>
  </si>
  <si>
    <t>distance -x</t>
  </si>
  <si>
    <t>y</t>
  </si>
  <si>
    <t>find Lamda for 1st order decay:</t>
  </si>
  <si>
    <t>measured:</t>
  </si>
  <si>
    <t>predicted:</t>
  </si>
  <si>
    <t>norm/measured</t>
  </si>
  <si>
    <t>Chi-square for normalized concentration:</t>
  </si>
  <si>
    <t>Chi-square for direct concentration:</t>
  </si>
  <si>
    <t>distance-y</t>
  </si>
  <si>
    <t>ft</t>
  </si>
  <si>
    <t>No degradation</t>
  </si>
  <si>
    <t>1-st Order Decay</t>
  </si>
  <si>
    <t>Inst Reaction</t>
  </si>
  <si>
    <t>x</t>
  </si>
  <si>
    <t>erfcconst3_1</t>
  </si>
  <si>
    <t>erfcconst1_1</t>
  </si>
  <si>
    <t>erfcconst2_1</t>
  </si>
  <si>
    <t>t, year</t>
  </si>
  <si>
    <t>dt</t>
  </si>
  <si>
    <t>data point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</si>
  <si>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</si>
  <si>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</si>
  <si>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</si>
  <si>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</si>
  <si>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</si>
  <si>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</si>
  <si>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</si>
  <si>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</si>
  <si>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</si>
  <si>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</si>
  <si>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</si>
  <si>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</si>
  <si>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</si>
  <si>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</si>
  <si>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</si>
  <si>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</si>
  <si>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</si>
  <si>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</si>
  <si>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</si>
  <si>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</si>
  <si>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</si>
  <si>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</si>
  <si>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</si>
  <si>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</si>
  <si>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</si>
  <si>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</si>
  <si>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</si>
  <si>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</si>
  <si>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</si>
  <si>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</si>
  <si>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</si>
  <si>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</si>
  <si>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</si>
  <si>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</si>
  <si>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</si>
  <si>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</si>
  <si>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</si>
  <si>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</si>
  <si>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</si>
  <si>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</si>
  <si>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</si>
  <si>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</si>
  <si>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</si>
  <si>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</si>
  <si>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</si>
  <si>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</si>
  <si>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</si>
  <si>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</si>
  <si>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</si>
  <si>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</si>
  <si>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Max distance</t>
  </si>
  <si>
    <t>#51</t>
  </si>
  <si>
    <t>Conc</t>
  </si>
  <si>
    <t>Site Name:</t>
  </si>
  <si>
    <t>Dist. from Source, x-direction, ft</t>
  </si>
  <si>
    <t>Measured Concentration, mg/L</t>
  </si>
  <si>
    <t>Receptor 1</t>
  </si>
  <si>
    <t xml:space="preserve"> @ receptor 1</t>
  </si>
  <si>
    <t xml:space="preserve"> @ receptor 2</t>
  </si>
  <si>
    <t>Chi-square test for for target source conc</t>
  </si>
  <si>
    <t>x-direction, ft</t>
  </si>
  <si>
    <t>y-direction, ft</t>
  </si>
  <si>
    <t>Simulation Start time, yr</t>
  </si>
  <si>
    <t>Current Source Mass, kg</t>
  </si>
  <si>
    <t>Target mass</t>
  </si>
  <si>
    <t>Difference</t>
  </si>
  <si>
    <t>original mass</t>
  </si>
  <si>
    <t>receptor 1</t>
  </si>
  <si>
    <t>recept 2</t>
  </si>
  <si>
    <t>recept 1</t>
  </si>
  <si>
    <t>find time for Target level</t>
  </si>
  <si>
    <t>Off-centerline Dist., y-direction, ft</t>
  </si>
  <si>
    <t>cm/sec</t>
  </si>
  <si>
    <t>Monitoring Well name</t>
  </si>
  <si>
    <t>steady time1</t>
  </si>
  <si>
    <t>Steady time2</t>
  </si>
  <si>
    <t>ft/ft</t>
  </si>
  <si>
    <t>kg/L</t>
  </si>
  <si>
    <t>L/kg</t>
  </si>
  <si>
    <t>Physical-Chemical Properties</t>
  </si>
  <si>
    <t>CAS NO</t>
  </si>
  <si>
    <t>Equivalent Carbon Number</t>
  </si>
  <si>
    <t>Molecular Weight</t>
  </si>
  <si>
    <t>Aqueous Solubility</t>
  </si>
  <si>
    <t>Henry's Law Constant</t>
  </si>
  <si>
    <t>Soil Organic Carbon-Water Partitioning Coefficient</t>
  </si>
  <si>
    <t>Liquid Density</t>
  </si>
  <si>
    <t>MW</t>
  </si>
  <si>
    <t>S</t>
  </si>
  <si>
    <t>r</t>
  </si>
  <si>
    <t>Hcc</t>
  </si>
  <si>
    <t>weight fraction</t>
  </si>
  <si>
    <t>AVG KOC</t>
  </si>
  <si>
    <t>mg/mol</t>
  </si>
  <si>
    <t>mg/l</t>
  </si>
  <si>
    <t>unitless</t>
  </si>
  <si>
    <t>l/kg</t>
  </si>
  <si>
    <t>TPHG</t>
  </si>
  <si>
    <t>TPHD</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</si>
  <si>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</si>
  <si>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</si>
  <si>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</si>
  <si>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</si>
  <si>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</si>
  <si>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</si>
  <si>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</si>
  <si>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</si>
  <si>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</si>
  <si>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</si>
  <si>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</si>
  <si>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</si>
  <si>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</si>
  <si>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</si>
  <si>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</si>
  <si>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Total Xylenes</t>
  </si>
  <si>
    <t>TPH-G</t>
  </si>
  <si>
    <t>TPH-D</t>
  </si>
  <si>
    <t>Total Naphthalenes</t>
  </si>
  <si>
    <t>110-54-3</t>
  </si>
  <si>
    <t>n-Hexane</t>
  </si>
  <si>
    <t>1634-04-4</t>
  </si>
  <si>
    <t>MTBE</t>
  </si>
  <si>
    <t>106-93-4</t>
  </si>
  <si>
    <t>Ethylene Dibromide (EDB)</t>
  </si>
  <si>
    <t>107-06-2</t>
  </si>
  <si>
    <t>1,2 Dichloroethane (EDC)</t>
  </si>
  <si>
    <t>Site Address:</t>
  </si>
  <si>
    <t>Density of chemical</t>
  </si>
  <si>
    <t>Soil Organic fraction</t>
  </si>
  <si>
    <t>Layers</t>
  </si>
  <si>
    <t>Column Thickness</t>
  </si>
  <si>
    <t>Porosity</t>
  </si>
  <si>
    <t>Water Content</t>
  </si>
  <si>
    <t>Area</t>
  </si>
  <si>
    <t>mg/kg</t>
  </si>
  <si>
    <t>Name of zone</t>
  </si>
  <si>
    <t>Contaminant Estimated</t>
  </si>
  <si>
    <t>Soil Volume</t>
  </si>
  <si>
    <t>Soil Weight</t>
  </si>
  <si>
    <t>Area-weighted average conc</t>
  </si>
  <si>
    <t>Mass</t>
  </si>
  <si>
    <t>Volume</t>
  </si>
  <si>
    <t>Gal</t>
  </si>
  <si>
    <t>Total</t>
  </si>
  <si>
    <r>
      <t>H</t>
    </r>
    <r>
      <rPr>
        <b/>
        <i/>
        <vertAlign val="subscript"/>
        <sz val="14"/>
        <rFont val="Times New Roman"/>
        <family val="1"/>
      </rPr>
      <t>cc</t>
    </r>
  </si>
  <si>
    <r>
      <t>K</t>
    </r>
    <r>
      <rPr>
        <b/>
        <i/>
        <vertAlign val="subscript"/>
        <sz val="14"/>
        <rFont val="Times New Roman"/>
        <family val="1"/>
      </rPr>
      <t>oc</t>
    </r>
  </si>
  <si>
    <r>
      <t xml:space="preserve"> Mn</t>
    </r>
    <r>
      <rPr>
        <vertAlign val="superscript"/>
        <sz val="9"/>
        <rFont val="Arial"/>
        <family val="2"/>
      </rPr>
      <t>+2</t>
    </r>
  </si>
  <si>
    <r>
      <t>CH</t>
    </r>
    <r>
      <rPr>
        <vertAlign val="subscript"/>
        <sz val="9"/>
        <rFont val="Arial"/>
        <family val="2"/>
      </rPr>
      <t>4</t>
    </r>
  </si>
  <si>
    <t>Observed Manganese*</t>
  </si>
  <si>
    <t>Mn+2</t>
  </si>
  <si>
    <t>BTEX</t>
  </si>
  <si>
    <t>Utilization Factors</t>
  </si>
  <si>
    <t xml:space="preserve">Chemical A:User-specified </t>
  </si>
  <si>
    <t xml:space="preserve">Chemical B:User-specified </t>
  </si>
  <si>
    <t xml:space="preserve">Chemical C:User-specified </t>
  </si>
  <si>
    <t xml:space="preserve">Chemical D:User-specified </t>
  </si>
  <si>
    <t>chisquare for Instant Reaction (for noraml conc)</t>
  </si>
  <si>
    <t>A. chi for lambda</t>
  </si>
  <si>
    <t>B. chi for biodegradation cap</t>
  </si>
  <si>
    <t>predicted</t>
  </si>
  <si>
    <t>or, Instantaneous Reaction Model</t>
  </si>
  <si>
    <t>1st Order Decay Model</t>
  </si>
  <si>
    <t>NA</t>
  </si>
  <si>
    <t>theta</t>
  </si>
  <si>
    <t>L</t>
  </si>
  <si>
    <t>x-direction</t>
  </si>
  <si>
    <t>centerline_distance</t>
  </si>
  <si>
    <t>MW location</t>
  </si>
  <si>
    <t>centerline (calculated)</t>
  </si>
  <si>
    <t>LN (conc)</t>
  </si>
  <si>
    <t>Dummy XYZ site</t>
  </si>
  <si>
    <r>
      <t>a</t>
    </r>
    <r>
      <rPr>
        <b/>
        <i/>
        <u val="single"/>
        <vertAlign val="subscript"/>
        <sz val="11"/>
        <color indexed="12"/>
        <rFont val="Arial"/>
        <family val="2"/>
      </rPr>
      <t>x</t>
    </r>
  </si>
  <si>
    <r>
      <t>a</t>
    </r>
    <r>
      <rPr>
        <b/>
        <i/>
        <vertAlign val="subscript"/>
        <sz val="11"/>
        <rFont val="Geneva"/>
        <family val="0"/>
      </rPr>
      <t>y</t>
    </r>
  </si>
  <si>
    <r>
      <t>a</t>
    </r>
    <r>
      <rPr>
        <b/>
        <i/>
        <vertAlign val="subscript"/>
        <sz val="11"/>
        <rFont val="Geneva"/>
        <family val="0"/>
      </rPr>
      <t>z</t>
    </r>
  </si>
  <si>
    <r>
      <t>L</t>
    </r>
    <r>
      <rPr>
        <b/>
        <i/>
        <u val="single"/>
        <vertAlign val="subscript"/>
        <sz val="11"/>
        <color indexed="12"/>
        <rFont val="Arial"/>
        <family val="2"/>
      </rPr>
      <t>p</t>
    </r>
  </si>
  <si>
    <r>
      <t>r</t>
    </r>
    <r>
      <rPr>
        <b/>
        <i/>
        <vertAlign val="subscript"/>
        <sz val="11"/>
        <rFont val="Arial"/>
        <family val="2"/>
      </rPr>
      <t>b</t>
    </r>
  </si>
  <si>
    <r>
      <t>K</t>
    </r>
    <r>
      <rPr>
        <b/>
        <i/>
        <vertAlign val="subscript"/>
        <sz val="11"/>
        <rFont val="Arial"/>
        <family val="2"/>
      </rPr>
      <t>oc</t>
    </r>
  </si>
  <si>
    <r>
      <t>f</t>
    </r>
    <r>
      <rPr>
        <b/>
        <i/>
        <vertAlign val="subscript"/>
        <sz val="11"/>
        <rFont val="Arial"/>
        <family val="2"/>
      </rPr>
      <t>oc</t>
    </r>
  </si>
  <si>
    <r>
      <t>V</t>
    </r>
    <r>
      <rPr>
        <b/>
        <i/>
        <vertAlign val="subscript"/>
        <sz val="11"/>
        <rFont val="Arial"/>
        <family val="2"/>
      </rPr>
      <t>c</t>
    </r>
  </si>
  <si>
    <t>dist_x-direction</t>
  </si>
  <si>
    <t>If No Data Leave Blank.</t>
  </si>
  <si>
    <t>total</t>
  </si>
  <si>
    <t>count: no of data?</t>
  </si>
  <si>
    <t>Chisquare?</t>
  </si>
  <si>
    <t>chi value?</t>
  </si>
  <si>
    <t>total count?</t>
  </si>
  <si>
    <t>Chi_square?</t>
  </si>
  <si>
    <t>count?</t>
  </si>
  <si>
    <t>chivalue</t>
  </si>
  <si>
    <r>
      <t>Fe</t>
    </r>
    <r>
      <rPr>
        <vertAlign val="superscript"/>
        <sz val="9"/>
        <rFont val="Arial"/>
        <family val="2"/>
      </rPr>
      <t>+2</t>
    </r>
  </si>
  <si>
    <t>Distance from Source, x-direction (ft)</t>
  </si>
  <si>
    <t>Distance, y-direction (ft)</t>
  </si>
  <si>
    <t>1234, Olympia, WA 98501</t>
  </si>
  <si>
    <t xml:space="preserve">Observed Concentrations at Monitoring Wells </t>
  </si>
  <si>
    <t>TYPE OF MODEL used</t>
  </si>
  <si>
    <t>Graphing: for normalized data</t>
  </si>
  <si>
    <t>normalized/predicted(1st order decay)</t>
  </si>
  <si>
    <t>normalized/predicted (inst react model)</t>
  </si>
  <si>
    <t>normalized/predicted(no degradat)</t>
  </si>
  <si>
    <t>No degradation model: only dispersion effect</t>
  </si>
  <si>
    <t>Graphing for data</t>
  </si>
  <si>
    <t>Receptor2</t>
  </si>
  <si>
    <t>Transformed centerline_distance</t>
  </si>
  <si>
    <t>Type of Model Used</t>
  </si>
  <si>
    <t>tanh</t>
  </si>
  <si>
    <t>Location of Receptors</t>
  </si>
  <si>
    <t>Centerline Dist. transformed, ft</t>
  </si>
  <si>
    <t>source mass</t>
  </si>
  <si>
    <t>original t</t>
  </si>
  <si>
    <t>time?</t>
  </si>
  <si>
    <t>Bear Equation Formular</t>
  </si>
  <si>
    <t>Backward</t>
  </si>
  <si>
    <t>Forward</t>
  </si>
  <si>
    <t>Co?</t>
  </si>
  <si>
    <t>C(x,t)?</t>
  </si>
  <si>
    <t>transformation of  x-distance</t>
  </si>
  <si>
    <t>Max</t>
  </si>
  <si>
    <t>X-Vr*t*SQRT(1+4*lamda*Ax)/2*SQRT(Ax*Vr*t):</t>
  </si>
  <si>
    <t>erfc[(X-Vr*t*SQRT(1+4*lamda*Ax)/2*SQRT(Ax*Vr*t)]:</t>
  </si>
  <si>
    <t>Spatial Distribution</t>
  </si>
  <si>
    <t>X-distance</t>
  </si>
  <si>
    <t>Temporal Distribution</t>
  </si>
  <si>
    <t>time, yr</t>
  </si>
  <si>
    <t>Plume View Width</t>
  </si>
  <si>
    <t>Plume View Depth</t>
  </si>
  <si>
    <t>z</t>
  </si>
  <si>
    <t>Y-direction</t>
  </si>
  <si>
    <t>z-direction</t>
  </si>
  <si>
    <t>y-direction</t>
  </si>
  <si>
    <t>x/(2*Ax):</t>
  </si>
  <si>
    <t>sqrt(1+(4*lambda)*Ax/Vr):</t>
  </si>
  <si>
    <t>exp((x/(2*Ax))*(1-sqrt(1+(4*lamb*Ax)/Vr))):</t>
  </si>
  <si>
    <t>x-Vr*T(sqrt(1+4*lambda*Ax/vr)):</t>
  </si>
  <si>
    <t>2*sqrt(Ax*Vr*T):</t>
  </si>
  <si>
    <t>(X-Vr*t)*SQRT(1+4*lamda*Ax)/2*SQRT(Ax*Vr*t):</t>
  </si>
  <si>
    <t>erfc[(X-Vr*t)*SQRT(1+4*lamda*Ax)/2*SQRT(Ax*Vr*t)]:</t>
  </si>
  <si>
    <t>2*sqrt*Ay*x):</t>
  </si>
  <si>
    <t>2*sqrt(Az*x):</t>
  </si>
  <si>
    <t>(y+Y/2)/2*sqrt(Ay*x):</t>
  </si>
  <si>
    <t>(y-Y/2)/2*sqrt(Ay*x):</t>
  </si>
  <si>
    <t>(z+Z/2)/2*sqrt(Az*x):</t>
  </si>
  <si>
    <t>(z-Z/2)/2*sqrt(Az*x):</t>
  </si>
  <si>
    <t>erf[(y+Y/2)/2*sqrt(Ay*x)]:</t>
  </si>
  <si>
    <t>erf[(y-Y/2)/2*sqrt(Ay*x)]:</t>
  </si>
  <si>
    <t>erf[(z+Z/2)/2*sqrt(Az*x)]:</t>
  </si>
  <si>
    <t>erf[(z-Z/2)/2*sqrt(Az*x)]:</t>
  </si>
  <si>
    <t>Co, mg/L</t>
  </si>
  <si>
    <t>Ysource</t>
  </si>
  <si>
    <t>Z source</t>
  </si>
  <si>
    <t xml:space="preserve">  exp(-ks*(t-X/Vc))</t>
  </si>
  <si>
    <t>Depth, z-direction (ft)</t>
  </si>
  <si>
    <t>Plume Width, y-direction (ft)</t>
  </si>
  <si>
    <t>Vertical Plume</t>
  </si>
  <si>
    <t>Domenico with first-oder decay model is used</t>
  </si>
  <si>
    <t>UtFactor</t>
  </si>
  <si>
    <t>Delta Dissolved Oxygen*</t>
  </si>
  <si>
    <r>
      <t>NO</t>
    </r>
    <r>
      <rPr>
        <vertAlign val="subscript"/>
        <sz val="9"/>
        <rFont val="Arial"/>
        <family val="2"/>
      </rPr>
      <t>3</t>
    </r>
    <r>
      <rPr>
        <vertAlign val="superscript"/>
        <sz val="9"/>
        <rFont val="Arial"/>
        <family val="2"/>
      </rPr>
      <t>+1</t>
    </r>
  </si>
  <si>
    <r>
      <t>SO</t>
    </r>
    <r>
      <rPr>
        <vertAlign val="subscript"/>
        <sz val="9"/>
        <rFont val="Arial"/>
        <family val="2"/>
      </rPr>
      <t>4</t>
    </r>
    <r>
      <rPr>
        <vertAlign val="superscript"/>
        <sz val="9"/>
        <rFont val="Arial"/>
        <family val="2"/>
      </rPr>
      <t>-2</t>
    </r>
  </si>
  <si>
    <t>Washington State Department of Ecology: Toxics Cleanup Program</t>
  </si>
  <si>
    <r>
      <t>n</t>
    </r>
    <r>
      <rPr>
        <b/>
        <i/>
        <vertAlign val="subscript"/>
        <sz val="11"/>
        <rFont val="Arial"/>
        <family val="2"/>
      </rPr>
      <t>e</t>
    </r>
  </si>
  <si>
    <t>l</t>
  </si>
  <si>
    <r>
      <t>t</t>
    </r>
    <r>
      <rPr>
        <b/>
        <i/>
        <vertAlign val="subscript"/>
        <sz val="11"/>
        <rFont val="Arial"/>
        <family val="2"/>
      </rPr>
      <t>1/2</t>
    </r>
  </si>
  <si>
    <r>
      <t>yr</t>
    </r>
    <r>
      <rPr>
        <vertAlign val="superscript"/>
        <sz val="10"/>
        <rFont val="Times New Roman"/>
        <family val="1"/>
      </rPr>
      <t>-1</t>
    </r>
  </si>
  <si>
    <t xml:space="preserve">    Enter value directly....or</t>
  </si>
  <si>
    <t>by Hun Seak Park; 7/1/03</t>
  </si>
  <si>
    <t xml:space="preserve">    (To restore formulas, hit button above).</t>
  </si>
  <si>
    <r>
      <t>V</t>
    </r>
    <r>
      <rPr>
        <b/>
        <i/>
        <vertAlign val="subscript"/>
        <sz val="11"/>
        <color indexed="12"/>
        <rFont val="Geneva"/>
        <family val="0"/>
      </rPr>
      <t>gw</t>
    </r>
  </si>
  <si>
    <r>
      <t>a</t>
    </r>
    <r>
      <rPr>
        <b/>
        <i/>
        <vertAlign val="subscript"/>
        <sz val="11"/>
        <rFont val="Times New Roman"/>
        <family val="1"/>
      </rPr>
      <t>z</t>
    </r>
  </si>
  <si>
    <t>Simulation time, yr</t>
  </si>
  <si>
    <t>Distance from the Source to surface water, ft</t>
  </si>
  <si>
    <t>Vertical dispersivity estimated, ft</t>
  </si>
  <si>
    <t>Mass loading to surface water, mg/day</t>
  </si>
  <si>
    <t>Additional Description:</t>
  </si>
  <si>
    <r>
      <t>Plume flow rate, ft</t>
    </r>
    <r>
      <rPr>
        <vertAlign val="superscript"/>
        <sz val="10"/>
        <rFont val="Times New Roman"/>
        <family val="1"/>
      </rPr>
      <t>3</t>
    </r>
    <r>
      <rPr>
        <sz val="10"/>
        <rFont val="Times New Roman"/>
        <family val="1"/>
      </rPr>
      <t>/day</t>
    </r>
  </si>
  <si>
    <t xml:space="preserve">    1st Order Decay</t>
  </si>
  <si>
    <t>Well Location</t>
  </si>
  <si>
    <t>Source Depth in Saturated Zone*</t>
  </si>
  <si>
    <t>In Source NAPL and Soil</t>
  </si>
  <si>
    <t xml:space="preserve">      EPA Web hyper-linked for information</t>
  </si>
  <si>
    <t xml:space="preserve">       Data used directly in a model. </t>
  </si>
  <si>
    <t xml:space="preserve">     Value calculated by a formular.</t>
  </si>
  <si>
    <r>
      <t xml:space="preserve">Chi-square statistics result for </t>
    </r>
    <r>
      <rPr>
        <b/>
        <sz val="11"/>
        <rFont val="Symbol"/>
        <family val="1"/>
      </rPr>
      <t>a</t>
    </r>
    <r>
      <rPr>
        <b/>
        <vertAlign val="subscript"/>
        <sz val="11"/>
        <rFont val="Times New Roman"/>
        <family val="1"/>
      </rPr>
      <t>x</t>
    </r>
  </si>
  <si>
    <t>ac-ft</t>
  </si>
  <si>
    <t>ac-ft/yr</t>
  </si>
  <si>
    <t>Ferrous Iron</t>
  </si>
  <si>
    <r>
      <t>D</t>
    </r>
    <r>
      <rPr>
        <b/>
        <i/>
        <vertAlign val="subscript"/>
        <sz val="12"/>
        <rFont val="Times New Roman"/>
        <family val="1"/>
      </rPr>
      <t>unz1</t>
    </r>
  </si>
  <si>
    <r>
      <t>ft</t>
    </r>
    <r>
      <rPr>
        <vertAlign val="superscript"/>
        <sz val="10"/>
        <rFont val="Times New Roman"/>
        <family val="1"/>
      </rPr>
      <t>2</t>
    </r>
  </si>
  <si>
    <r>
      <t>D</t>
    </r>
    <r>
      <rPr>
        <b/>
        <i/>
        <vertAlign val="subscript"/>
        <sz val="12"/>
        <rFont val="Times New Roman"/>
        <family val="1"/>
      </rPr>
      <t>unz2</t>
    </r>
  </si>
  <si>
    <r>
      <t>D</t>
    </r>
    <r>
      <rPr>
        <b/>
        <i/>
        <vertAlign val="subscript"/>
        <sz val="12"/>
        <rFont val="Times New Roman"/>
        <family val="1"/>
      </rPr>
      <t>unz3</t>
    </r>
  </si>
  <si>
    <r>
      <t>ft</t>
    </r>
    <r>
      <rPr>
        <vertAlign val="superscript"/>
        <sz val="10"/>
        <rFont val="Times New Roman"/>
        <family val="1"/>
      </rPr>
      <t>3</t>
    </r>
  </si>
  <si>
    <t>1. Calculation of Contaminant Mass at Source Zone: Thiessen Polygon Network</t>
  </si>
  <si>
    <t>2. Enter the Measured Values below</t>
  </si>
  <si>
    <t>3. Summary of Mass Distribution at Source Zone</t>
  </si>
  <si>
    <t>Date of Source Sampling:</t>
  </si>
  <si>
    <t>1. Input data used for this Module</t>
  </si>
  <si>
    <t>Calculation of low boundary of k value</t>
  </si>
  <si>
    <t>distance</t>
  </si>
  <si>
    <t>LN(Conc)</t>
  </si>
  <si>
    <t>Sum</t>
  </si>
  <si>
    <t>Calculation results</t>
  </si>
  <si>
    <t>Estimated standard error</t>
  </si>
  <si>
    <t>Predetermined  confidence level</t>
  </si>
  <si>
    <t>t-statistics value</t>
  </si>
  <si>
    <t>Confidence Interval</t>
  </si>
  <si>
    <t>lower boundary slope (k/Vgw)</t>
  </si>
  <si>
    <r>
      <t>S</t>
    </r>
    <r>
      <rPr>
        <vertAlign val="subscript"/>
        <sz val="10"/>
        <rFont val="Times New Roman"/>
        <family val="1"/>
      </rPr>
      <t>xx</t>
    </r>
  </si>
  <si>
    <t>Average Slope</t>
  </si>
  <si>
    <t>unit</t>
  </si>
  <si>
    <t xml:space="preserve"> @ Avg Slope</t>
  </si>
  <si>
    <t>2. Enter Decision Criteria</t>
  </si>
  <si>
    <r>
      <t>ft</t>
    </r>
    <r>
      <rPr>
        <vertAlign val="superscript"/>
        <sz val="10"/>
        <rFont val="Times New Roman"/>
        <family val="1"/>
      </rPr>
      <t>-1</t>
    </r>
  </si>
  <si>
    <r>
      <t xml:space="preserve">Bulk Attenuation Rate Constant, </t>
    </r>
    <r>
      <rPr>
        <b/>
        <i/>
        <sz val="10"/>
        <rFont val="Times New Roman"/>
        <family val="1"/>
      </rPr>
      <t>k</t>
    </r>
  </si>
  <si>
    <r>
      <t xml:space="preserve">Half Life of </t>
    </r>
    <r>
      <rPr>
        <b/>
        <i/>
        <sz val="10"/>
        <rFont val="Times New Roman"/>
        <family val="1"/>
      </rPr>
      <t xml:space="preserve">k </t>
    </r>
  </si>
  <si>
    <r>
      <t xml:space="preserve">transformed distance from 2-D:  </t>
    </r>
    <r>
      <rPr>
        <b/>
        <sz val="10"/>
        <rFont val="Times New Roman"/>
        <family val="1"/>
      </rPr>
      <t>X</t>
    </r>
  </si>
  <si>
    <r>
      <t>X</t>
    </r>
    <r>
      <rPr>
        <b/>
        <vertAlign val="superscript"/>
        <sz val="10"/>
        <rFont val="Times New Roman"/>
        <family val="1"/>
      </rPr>
      <t>2</t>
    </r>
  </si>
  <si>
    <t>SX</t>
  </si>
  <si>
    <r>
      <t>SX</t>
    </r>
    <r>
      <rPr>
        <vertAlign val="superscript"/>
        <sz val="10"/>
        <rFont val="Times New Roman"/>
        <family val="1"/>
      </rPr>
      <t>2</t>
    </r>
  </si>
  <si>
    <r>
      <t xml:space="preserve">Biodegradation Rate Constant, </t>
    </r>
    <r>
      <rPr>
        <sz val="10"/>
        <rFont val="Symbol"/>
        <family val="1"/>
      </rPr>
      <t xml:space="preserve"> </t>
    </r>
    <r>
      <rPr>
        <b/>
        <i/>
        <sz val="10"/>
        <rFont val="Symbol"/>
        <family val="1"/>
      </rPr>
      <t>l</t>
    </r>
  </si>
  <si>
    <t>for average value of slope</t>
  </si>
  <si>
    <t>for lower boundary slope + avg Vgw</t>
  </si>
  <si>
    <t>for lower boundary slope + min Vgw</t>
  </si>
  <si>
    <t xml:space="preserve">Rates Calculated:  </t>
  </si>
  <si>
    <t>with average slope, and avg Vgw</t>
  </si>
  <si>
    <t>Simulation Time, yr</t>
  </si>
  <si>
    <t>Temporal/Spatial Prediction</t>
  </si>
  <si>
    <r>
      <t xml:space="preserve"> Ratio of  </t>
    </r>
    <r>
      <rPr>
        <b/>
        <i/>
        <sz val="10"/>
        <rFont val="Symbol"/>
        <family val="1"/>
      </rPr>
      <t>l</t>
    </r>
    <r>
      <rPr>
        <b/>
        <i/>
        <sz val="10"/>
        <rFont val="Times New Roman"/>
        <family val="1"/>
      </rPr>
      <t>/k</t>
    </r>
  </si>
  <si>
    <r>
      <t xml:space="preserve">Half-Life of </t>
    </r>
    <r>
      <rPr>
        <b/>
        <i/>
        <sz val="10"/>
        <rFont val="Times New Roman"/>
        <family val="1"/>
      </rPr>
      <t>λ</t>
    </r>
  </si>
  <si>
    <t>Calculation of Target Source Concentration</t>
  </si>
  <si>
    <t>Receptor #1</t>
  </si>
  <si>
    <t>Receptor #2</t>
  </si>
  <si>
    <t>Time to reach the Target level without source Removal, yr</t>
  </si>
  <si>
    <t>Retardation Factor, R</t>
  </si>
  <si>
    <t>Biod Rate Constant*</t>
  </si>
  <si>
    <t>Simulation End  time, yr</t>
  </si>
  <si>
    <t>Source Half-life calculated:</t>
  </si>
  <si>
    <t>ug/L</t>
  </si>
  <si>
    <t>Measured Concentration, ug/L</t>
  </si>
  <si>
    <t>Conc. (ug/L)*</t>
  </si>
  <si>
    <t>Average groundwater conc, ug/L</t>
  </si>
  <si>
    <t>Predicted Concentration, ug/L</t>
  </si>
  <si>
    <t>dist_y-direction</t>
  </si>
  <si>
    <t>Dist. From Source, x,y-direction, ft</t>
  </si>
  <si>
    <t xml:space="preserve">  below to Display:</t>
  </si>
  <si>
    <t xml:space="preserve">  Choose a Model</t>
  </si>
  <si>
    <t>Mn</t>
  </si>
  <si>
    <t>Manganese</t>
  </si>
  <si>
    <t>Plume Mass if No Biodegradation:</t>
  </si>
  <si>
    <t xml:space="preserve"> @Simulation Time, yr</t>
  </si>
  <si>
    <t>Half-Time to reach the steady-state, yr</t>
  </si>
  <si>
    <t>Removal needed</t>
  </si>
  <si>
    <r>
      <t xml:space="preserve">Seepage Velocity, </t>
    </r>
    <r>
      <rPr>
        <b/>
        <i/>
        <sz val="11"/>
        <rFont val="Times New Roman"/>
        <family val="1"/>
      </rPr>
      <t>V</t>
    </r>
    <r>
      <rPr>
        <b/>
        <i/>
        <vertAlign val="subscript"/>
        <sz val="11"/>
        <rFont val="Times New Roman"/>
        <family val="1"/>
      </rPr>
      <t>gw,</t>
    </r>
    <r>
      <rPr>
        <vertAlign val="subscript"/>
        <sz val="11"/>
        <rFont val="Times New Roman"/>
        <family val="1"/>
      </rPr>
      <t xml:space="preserve"> </t>
    </r>
    <r>
      <rPr>
        <sz val="10"/>
        <rFont val="Times New Roman"/>
        <family val="1"/>
      </rPr>
      <t>ft/yr</t>
    </r>
  </si>
  <si>
    <r>
      <t xml:space="preserve">Longitudinal Dispersivity, </t>
    </r>
    <r>
      <rPr>
        <b/>
        <i/>
        <sz val="12"/>
        <rFont val="Symbol"/>
        <family val="1"/>
      </rPr>
      <t>a</t>
    </r>
    <r>
      <rPr>
        <i/>
        <vertAlign val="subscript"/>
        <sz val="12"/>
        <rFont val="Times New Roman"/>
        <family val="1"/>
      </rPr>
      <t>x</t>
    </r>
    <r>
      <rPr>
        <sz val="10"/>
        <rFont val="Times New Roman"/>
        <family val="1"/>
      </rPr>
      <t>, ft</t>
    </r>
  </si>
  <si>
    <r>
      <t xml:space="preserve">Transverse Dispersivity, </t>
    </r>
    <r>
      <rPr>
        <b/>
        <i/>
        <sz val="12"/>
        <rFont val="Symbol"/>
        <family val="1"/>
      </rPr>
      <t>a</t>
    </r>
    <r>
      <rPr>
        <b/>
        <i/>
        <vertAlign val="subscript"/>
        <sz val="12"/>
        <rFont val="Times New Roman"/>
        <family val="1"/>
      </rPr>
      <t>y</t>
    </r>
    <r>
      <rPr>
        <sz val="10"/>
        <rFont val="Times New Roman"/>
        <family val="1"/>
      </rPr>
      <t>, ft</t>
    </r>
  </si>
  <si>
    <r>
      <t xml:space="preserve">Biodegradation Rate Constant, </t>
    </r>
    <r>
      <rPr>
        <b/>
        <i/>
        <sz val="12"/>
        <rFont val="Symbol"/>
        <family val="1"/>
      </rPr>
      <t>l</t>
    </r>
    <r>
      <rPr>
        <sz val="10"/>
        <rFont val="Times New Roman"/>
        <family val="1"/>
      </rPr>
      <t>, yr</t>
    </r>
    <r>
      <rPr>
        <vertAlign val="superscript"/>
        <sz val="10"/>
        <rFont val="Times New Roman"/>
        <family val="1"/>
      </rPr>
      <t>-1</t>
    </r>
  </si>
  <si>
    <t>Location of a Receptor</t>
  </si>
  <si>
    <t>Highest groundwater conc, ug/L</t>
  </si>
  <si>
    <t>mg/kg or ug/L</t>
  </si>
  <si>
    <t>all</t>
  </si>
  <si>
    <r>
      <t>D</t>
    </r>
    <r>
      <rPr>
        <b/>
        <i/>
        <vertAlign val="subscript"/>
        <sz val="12"/>
        <rFont val="Times New Roman"/>
        <family val="1"/>
      </rPr>
      <t>unz4</t>
    </r>
  </si>
  <si>
    <r>
      <t>ft</t>
    </r>
    <r>
      <rPr>
        <vertAlign val="superscript"/>
        <sz val="10"/>
        <rFont val="Times New Roman"/>
        <family val="1"/>
      </rPr>
      <t>3</t>
    </r>
  </si>
  <si>
    <r>
      <t>D</t>
    </r>
    <r>
      <rPr>
        <b/>
        <i/>
        <vertAlign val="subscript"/>
        <sz val="12"/>
        <rFont val="Times New Roman"/>
        <family val="1"/>
      </rPr>
      <t>sat1</t>
    </r>
  </si>
  <si>
    <r>
      <t>D</t>
    </r>
    <r>
      <rPr>
        <b/>
        <i/>
        <vertAlign val="subscript"/>
        <sz val="12"/>
        <rFont val="Times New Roman"/>
        <family val="1"/>
      </rPr>
      <t>sat2</t>
    </r>
  </si>
  <si>
    <r>
      <t>D</t>
    </r>
    <r>
      <rPr>
        <b/>
        <i/>
        <vertAlign val="subscript"/>
        <sz val="12"/>
        <rFont val="Times New Roman"/>
        <family val="1"/>
      </rPr>
      <t>sat3</t>
    </r>
  </si>
  <si>
    <r>
      <t>D</t>
    </r>
    <r>
      <rPr>
        <b/>
        <i/>
        <vertAlign val="subscript"/>
        <sz val="12"/>
        <rFont val="Times New Roman"/>
        <family val="1"/>
      </rPr>
      <t>smz1</t>
    </r>
  </si>
  <si>
    <r>
      <t>D</t>
    </r>
    <r>
      <rPr>
        <b/>
        <i/>
        <vertAlign val="subscript"/>
        <sz val="12"/>
        <rFont val="Times New Roman"/>
        <family val="1"/>
      </rPr>
      <t>smz2</t>
    </r>
  </si>
  <si>
    <r>
      <t>D</t>
    </r>
    <r>
      <rPr>
        <b/>
        <i/>
        <vertAlign val="subscript"/>
        <sz val="12"/>
        <rFont val="Times New Roman"/>
        <family val="1"/>
      </rPr>
      <t>unz5</t>
    </r>
  </si>
  <si>
    <r>
      <t>D</t>
    </r>
    <r>
      <rPr>
        <b/>
        <i/>
        <vertAlign val="subscript"/>
        <sz val="12"/>
        <rFont val="Times New Roman"/>
        <family val="1"/>
      </rPr>
      <t>smz3</t>
    </r>
  </si>
  <si>
    <t>soil volume, ft3</t>
  </si>
  <si>
    <t>total area, ft2</t>
  </si>
  <si>
    <t>soil weight, kg</t>
  </si>
  <si>
    <t>conta mass, kg</t>
  </si>
  <si>
    <t>conta</t>
  </si>
  <si>
    <t>avg conc mg/kg, ug/L</t>
  </si>
  <si>
    <r>
      <t>A</t>
    </r>
    <r>
      <rPr>
        <vertAlign val="subscript"/>
        <sz val="10"/>
        <rFont val="Times New Roman"/>
        <family val="1"/>
      </rPr>
      <t>1</t>
    </r>
  </si>
  <si>
    <r>
      <t>A</t>
    </r>
    <r>
      <rPr>
        <vertAlign val="subscript"/>
        <sz val="10"/>
        <rFont val="Times New Roman"/>
        <family val="1"/>
      </rPr>
      <t>2</t>
    </r>
  </si>
  <si>
    <r>
      <t>A</t>
    </r>
    <r>
      <rPr>
        <vertAlign val="subscript"/>
        <sz val="10"/>
        <rFont val="Times New Roman"/>
        <family val="1"/>
      </rPr>
      <t>3</t>
    </r>
  </si>
  <si>
    <r>
      <t>A</t>
    </r>
    <r>
      <rPr>
        <vertAlign val="subscript"/>
        <sz val="10"/>
        <rFont val="Times New Roman"/>
        <family val="1"/>
      </rPr>
      <t>4</t>
    </r>
  </si>
  <si>
    <r>
      <t>A</t>
    </r>
    <r>
      <rPr>
        <vertAlign val="subscript"/>
        <sz val="10"/>
        <rFont val="Times New Roman"/>
        <family val="1"/>
      </rPr>
      <t>5</t>
    </r>
  </si>
  <si>
    <r>
      <t>A</t>
    </r>
    <r>
      <rPr>
        <vertAlign val="subscript"/>
        <sz val="10"/>
        <rFont val="Times New Roman"/>
        <family val="1"/>
      </rPr>
      <t>6</t>
    </r>
  </si>
  <si>
    <r>
      <t>A</t>
    </r>
    <r>
      <rPr>
        <vertAlign val="subscript"/>
        <sz val="10"/>
        <rFont val="Times New Roman"/>
        <family val="1"/>
      </rPr>
      <t>7</t>
    </r>
  </si>
  <si>
    <r>
      <t>A</t>
    </r>
    <r>
      <rPr>
        <vertAlign val="subscript"/>
        <sz val="10"/>
        <rFont val="Times New Roman"/>
        <family val="1"/>
      </rPr>
      <t>8</t>
    </r>
  </si>
  <si>
    <r>
      <t>#</t>
    </r>
    <r>
      <rPr>
        <b/>
        <sz val="10"/>
        <rFont val="Times New Roman"/>
        <family val="1"/>
      </rPr>
      <t>4.  BIODEGRADATION (two options)</t>
    </r>
  </si>
  <si>
    <r>
      <t>#</t>
    </r>
    <r>
      <rPr>
        <b/>
        <sz val="10"/>
        <rFont val="Times New Roman"/>
        <family val="1"/>
      </rPr>
      <t xml:space="preserve">6.  SOURCE DATA </t>
    </r>
  </si>
  <si>
    <t>8.  CONTROL</t>
  </si>
  <si>
    <t xml:space="preserve">   Used for Module 6 only.</t>
  </si>
  <si>
    <t>Input Instructions for this worksheet only:</t>
  </si>
  <si>
    <t>Modified from US EPA's Bioscreen 1.4 (1997)</t>
  </si>
  <si>
    <t>MW-1</t>
  </si>
  <si>
    <t>MW-2</t>
  </si>
  <si>
    <t>MW-3</t>
  </si>
  <si>
    <t>MW-4</t>
  </si>
  <si>
    <t>MW-5</t>
  </si>
  <si>
    <t>Change in Electron Acceptor/Byproduct Mass, kg:</t>
  </si>
  <si>
    <t>t-statistics</t>
  </si>
  <si>
    <r>
      <t>#</t>
    </r>
    <r>
      <rPr>
        <b/>
        <sz val="10"/>
        <color indexed="8"/>
        <rFont val="Times New Roman"/>
        <family val="1"/>
      </rPr>
      <t>title or control</t>
    </r>
  </si>
  <si>
    <t>7.  FIELD DATA FOR A CALIBRATION*</t>
  </si>
  <si>
    <t>Dummy xyz site</t>
  </si>
  <si>
    <t xml:space="preserve">                                                Measured Concentration: Area Element Discretized</t>
  </si>
  <si>
    <t xml:space="preserve"> b = 1/3a?</t>
  </si>
  <si>
    <t xml:space="preserve">Do not leave blank between data points. </t>
  </si>
  <si>
    <t>hsp mass balance</t>
  </si>
  <si>
    <t>Level of Significance calculated for the slope</t>
  </si>
  <si>
    <t>*5.  Source Release Time</t>
  </si>
  <si>
    <t xml:space="preserve">      Release Time*    </t>
  </si>
  <si>
    <t>A. Groundwater Concentration along Plume Centerline (ug/L at z=0)</t>
  </si>
  <si>
    <r>
      <t>Dissolved Oxygen (O</t>
    </r>
    <r>
      <rPr>
        <vertAlign val="subscript"/>
        <sz val="9"/>
        <rFont val="Times New Roman"/>
        <family val="1"/>
      </rPr>
      <t>2</t>
    </r>
    <r>
      <rPr>
        <sz val="9"/>
        <rFont val="Times New Roman"/>
        <family val="1"/>
      </rPr>
      <t>) utilized</t>
    </r>
  </si>
  <si>
    <r>
      <t>Nitrate (NO</t>
    </r>
    <r>
      <rPr>
        <vertAlign val="subscript"/>
        <sz val="9"/>
        <rFont val="Times New Roman"/>
        <family val="1"/>
      </rPr>
      <t>3</t>
    </r>
    <r>
      <rPr>
        <vertAlign val="superscript"/>
        <sz val="9"/>
        <rFont val="Times New Roman"/>
        <family val="1"/>
      </rPr>
      <t>-1</t>
    </r>
    <r>
      <rPr>
        <sz val="9"/>
        <rFont val="Times New Roman"/>
        <family val="1"/>
      </rPr>
      <t>) utilized</t>
    </r>
  </si>
  <si>
    <r>
      <t>Manganese (Mn</t>
    </r>
    <r>
      <rPr>
        <vertAlign val="superscript"/>
        <sz val="9"/>
        <color indexed="10"/>
        <rFont val="Times New Roman"/>
        <family val="1"/>
      </rPr>
      <t>+2</t>
    </r>
    <r>
      <rPr>
        <sz val="9"/>
        <color indexed="10"/>
        <rFont val="Times New Roman"/>
        <family val="1"/>
      </rPr>
      <t>) produced</t>
    </r>
  </si>
  <si>
    <r>
      <t>Ferrous Iron (Fe</t>
    </r>
    <r>
      <rPr>
        <vertAlign val="superscript"/>
        <sz val="9"/>
        <color indexed="10"/>
        <rFont val="Times New Roman"/>
        <family val="1"/>
      </rPr>
      <t>+2</t>
    </r>
    <r>
      <rPr>
        <sz val="9"/>
        <color indexed="10"/>
        <rFont val="Times New Roman"/>
        <family val="1"/>
      </rPr>
      <t>) produced</t>
    </r>
  </si>
  <si>
    <r>
      <t>Sulfate (SO</t>
    </r>
    <r>
      <rPr>
        <vertAlign val="subscript"/>
        <sz val="9"/>
        <rFont val="Times New Roman"/>
        <family val="1"/>
      </rPr>
      <t>4</t>
    </r>
    <r>
      <rPr>
        <vertAlign val="superscript"/>
        <sz val="9"/>
        <rFont val="Times New Roman"/>
        <family val="1"/>
      </rPr>
      <t>-2</t>
    </r>
    <r>
      <rPr>
        <sz val="9"/>
        <rFont val="Times New Roman"/>
        <family val="1"/>
      </rPr>
      <t>) utilized</t>
    </r>
  </si>
  <si>
    <r>
      <t>Methane (CH</t>
    </r>
    <r>
      <rPr>
        <vertAlign val="subscript"/>
        <sz val="9"/>
        <color indexed="10"/>
        <rFont val="Times New Roman"/>
        <family val="1"/>
      </rPr>
      <t>4</t>
    </r>
    <r>
      <rPr>
        <sz val="9"/>
        <color indexed="10"/>
        <rFont val="Times New Roman"/>
        <family val="1"/>
      </rPr>
      <t>) produced</t>
    </r>
  </si>
  <si>
    <t>1st order -decay model for surface water loading</t>
  </si>
  <si>
    <t>Modeled Area Length  (L), ft :</t>
  </si>
  <si>
    <t>Modeled Area Width (W), ft :</t>
  </si>
  <si>
    <t>Modeled Area Plume Width (W), ft :</t>
  </si>
  <si>
    <t>Modeled Area Vertical Plume Depth (D), ft :</t>
  </si>
  <si>
    <r>
      <t xml:space="preserve">Longitudinal Dispersivity, </t>
    </r>
    <r>
      <rPr>
        <b/>
        <i/>
        <sz val="14"/>
        <rFont val="Symbol"/>
        <family val="1"/>
      </rPr>
      <t>a</t>
    </r>
    <r>
      <rPr>
        <b/>
        <i/>
        <vertAlign val="subscript"/>
        <sz val="14"/>
        <rFont val="Times New Roman"/>
        <family val="1"/>
      </rPr>
      <t>x</t>
    </r>
    <r>
      <rPr>
        <sz val="10"/>
        <rFont val="Times New Roman"/>
        <family val="1"/>
      </rPr>
      <t>, ft</t>
    </r>
  </si>
  <si>
    <t>Trend of Contaminant @CL=0.5</t>
  </si>
  <si>
    <t>Log-Linear Regression Results:</t>
  </si>
  <si>
    <t>Point #1</t>
  </si>
  <si>
    <t>Point #2</t>
  </si>
  <si>
    <t>time vs. centerline distance</t>
  </si>
  <si>
    <t>dx=</t>
  </si>
  <si>
    <t>dt=</t>
  </si>
  <si>
    <t>at t1=</t>
  </si>
  <si>
    <t>at t2=</t>
  </si>
  <si>
    <t>at t3=</t>
  </si>
  <si>
    <t>at t4=</t>
  </si>
  <si>
    <t>at t5=</t>
  </si>
  <si>
    <t>3. Temporal Prediction at a Receptor (at z=0)</t>
  </si>
  <si>
    <t>Modeled Overall Plume Centerline Distance to evaluate, ft</t>
  </si>
  <si>
    <t>Modeled Overall Simulation Time to evaluate, year</t>
  </si>
  <si>
    <t>log scale</t>
  </si>
  <si>
    <t>t1</t>
  </si>
  <si>
    <t>t2</t>
  </si>
  <si>
    <t>t3</t>
  </si>
  <si>
    <t>t4</t>
  </si>
  <si>
    <t>t5</t>
  </si>
  <si>
    <t xml:space="preserve">normal scale </t>
  </si>
  <si>
    <t>backward source conc</t>
  </si>
  <si>
    <t>Target Level at receptors, ug/L</t>
  </si>
  <si>
    <t>Properties of Contaminants commonly found at Petroleum Contaminated Sites</t>
  </si>
  <si>
    <t>Contaminants or Petroleum Equivalent Carbon Fraction</t>
  </si>
  <si>
    <t>Source Release time, yr</t>
  </si>
  <si>
    <t>Enter Simulation Time, yr:</t>
  </si>
  <si>
    <t>Contam. Mass in Source (t=0 years):</t>
  </si>
  <si>
    <t xml:space="preserve"> Current Volume of Groundwater in Plume:</t>
  </si>
  <si>
    <t xml:space="preserve"> Flowrate of Water Through Source Zone:</t>
  </si>
  <si>
    <t>(Order-of-Magnitude Accuracy expected)</t>
  </si>
  <si>
    <t>by Hun seak Park, 9/1/2004</t>
  </si>
  <si>
    <t>Contaminated Soil in Unsaturated zone</t>
  </si>
  <si>
    <t>Smear Zone Source below Water Table</t>
  </si>
  <si>
    <t>Dissolved Phase in Saturated Zone</t>
  </si>
  <si>
    <r>
      <t>Seepage Velocity (Average),</t>
    </r>
    <r>
      <rPr>
        <sz val="11"/>
        <rFont val="Times New Roman"/>
        <family val="1"/>
      </rPr>
      <t xml:space="preserve"> </t>
    </r>
    <r>
      <rPr>
        <b/>
        <i/>
        <sz val="12"/>
        <rFont val="Symbol"/>
        <family val="1"/>
      </rPr>
      <t>n</t>
    </r>
    <r>
      <rPr>
        <b/>
        <i/>
        <vertAlign val="subscript"/>
        <sz val="11"/>
        <rFont val="Times New Roman"/>
        <family val="1"/>
      </rPr>
      <t>gw</t>
    </r>
    <r>
      <rPr>
        <sz val="10"/>
        <rFont val="Times New Roman"/>
        <family val="1"/>
      </rPr>
      <t>, ft/yr</t>
    </r>
  </si>
  <si>
    <r>
      <t xml:space="preserve">Coefficient of Determination,  </t>
    </r>
    <r>
      <rPr>
        <b/>
        <i/>
        <sz val="10"/>
        <rFont val="Times New Roman"/>
        <family val="1"/>
      </rPr>
      <t>r</t>
    </r>
    <r>
      <rPr>
        <b/>
        <i/>
        <vertAlign val="superscript"/>
        <sz val="10"/>
        <rFont val="Times New Roman"/>
        <family val="1"/>
      </rPr>
      <t>2</t>
    </r>
  </si>
  <si>
    <r>
      <t xml:space="preserve">Correlation Coefficient,  </t>
    </r>
    <r>
      <rPr>
        <b/>
        <i/>
        <sz val="10"/>
        <rFont val="Times New Roman"/>
        <family val="1"/>
      </rPr>
      <t>r</t>
    </r>
  </si>
  <si>
    <r>
      <t>Number of Data Point,</t>
    </r>
    <r>
      <rPr>
        <b/>
        <i/>
        <sz val="10"/>
        <rFont val="Times New Roman"/>
        <family val="1"/>
      </rPr>
      <t xml:space="preserve">  n</t>
    </r>
  </si>
  <si>
    <r>
      <t xml:space="preserve">Retardation Factor, </t>
    </r>
    <r>
      <rPr>
        <b/>
        <i/>
        <sz val="12"/>
        <rFont val="Times New Roman"/>
        <family val="1"/>
      </rPr>
      <t>R</t>
    </r>
  </si>
  <si>
    <t>Module 4: Source Zone Analysis</t>
  </si>
  <si>
    <t>Hazardous Substance:</t>
  </si>
  <si>
    <t>Fraction Organic Carbon</t>
  </si>
  <si>
    <t>Dry Soil Bulk Density</t>
  </si>
  <si>
    <t>Module 5: Calculation of Rate Constants: Temporal/Spatial Prediction</t>
  </si>
  <si>
    <r>
      <t>d</t>
    </r>
    <r>
      <rPr>
        <b/>
        <i/>
        <vertAlign val="superscript"/>
        <sz val="12"/>
        <rFont val="Times New Roman"/>
        <family val="1"/>
      </rPr>
      <t>1</t>
    </r>
    <r>
      <rPr>
        <b/>
        <i/>
        <vertAlign val="subscript"/>
        <sz val="12"/>
        <rFont val="Times New Roman"/>
        <family val="1"/>
      </rPr>
      <t>soil</t>
    </r>
  </si>
  <si>
    <r>
      <t>d</t>
    </r>
    <r>
      <rPr>
        <b/>
        <i/>
        <vertAlign val="superscript"/>
        <sz val="12"/>
        <rFont val="Times New Roman"/>
        <family val="1"/>
      </rPr>
      <t>2</t>
    </r>
    <r>
      <rPr>
        <b/>
        <i/>
        <vertAlign val="subscript"/>
        <sz val="12"/>
        <rFont val="Times New Roman"/>
        <family val="1"/>
      </rPr>
      <t>soil</t>
    </r>
  </si>
  <si>
    <r>
      <t>d</t>
    </r>
    <r>
      <rPr>
        <b/>
        <i/>
        <vertAlign val="superscript"/>
        <sz val="12"/>
        <rFont val="Times New Roman"/>
        <family val="1"/>
      </rPr>
      <t>3</t>
    </r>
    <r>
      <rPr>
        <b/>
        <i/>
        <vertAlign val="subscript"/>
        <sz val="12"/>
        <rFont val="Times New Roman"/>
        <family val="1"/>
      </rPr>
      <t>soil</t>
    </r>
  </si>
  <si>
    <r>
      <t>d</t>
    </r>
    <r>
      <rPr>
        <b/>
        <i/>
        <vertAlign val="superscript"/>
        <sz val="12"/>
        <rFont val="Times New Roman"/>
        <family val="1"/>
      </rPr>
      <t>4</t>
    </r>
    <r>
      <rPr>
        <b/>
        <i/>
        <vertAlign val="subscript"/>
        <sz val="12"/>
        <rFont val="Times New Roman"/>
        <family val="1"/>
      </rPr>
      <t>soil</t>
    </r>
  </si>
  <si>
    <r>
      <t>d</t>
    </r>
    <r>
      <rPr>
        <b/>
        <i/>
        <vertAlign val="superscript"/>
        <sz val="12"/>
        <rFont val="Times New Roman"/>
        <family val="1"/>
      </rPr>
      <t>5</t>
    </r>
    <r>
      <rPr>
        <b/>
        <i/>
        <vertAlign val="subscript"/>
        <sz val="12"/>
        <rFont val="Times New Roman"/>
        <family val="1"/>
      </rPr>
      <t>soil</t>
    </r>
  </si>
  <si>
    <r>
      <t>d</t>
    </r>
    <r>
      <rPr>
        <b/>
        <i/>
        <vertAlign val="superscript"/>
        <sz val="12"/>
        <rFont val="Times New Roman"/>
        <family val="1"/>
      </rPr>
      <t>1</t>
    </r>
    <r>
      <rPr>
        <b/>
        <i/>
        <vertAlign val="subscript"/>
        <sz val="12"/>
        <rFont val="Times New Roman"/>
        <family val="1"/>
      </rPr>
      <t>sz</t>
    </r>
  </si>
  <si>
    <r>
      <t>d</t>
    </r>
    <r>
      <rPr>
        <b/>
        <i/>
        <vertAlign val="superscript"/>
        <sz val="12"/>
        <rFont val="Times New Roman"/>
        <family val="1"/>
      </rPr>
      <t>2</t>
    </r>
    <r>
      <rPr>
        <b/>
        <i/>
        <vertAlign val="subscript"/>
        <sz val="12"/>
        <rFont val="Times New Roman"/>
        <family val="1"/>
      </rPr>
      <t>sz</t>
    </r>
  </si>
  <si>
    <r>
      <t>d</t>
    </r>
    <r>
      <rPr>
        <b/>
        <i/>
        <vertAlign val="superscript"/>
        <sz val="12"/>
        <rFont val="Times New Roman"/>
        <family val="1"/>
      </rPr>
      <t>3</t>
    </r>
    <r>
      <rPr>
        <b/>
        <i/>
        <vertAlign val="subscript"/>
        <sz val="12"/>
        <rFont val="Times New Roman"/>
        <family val="1"/>
      </rPr>
      <t>sz</t>
    </r>
  </si>
  <si>
    <r>
      <t>d</t>
    </r>
    <r>
      <rPr>
        <b/>
        <i/>
        <vertAlign val="superscript"/>
        <sz val="12"/>
        <rFont val="Times New Roman"/>
        <family val="1"/>
      </rPr>
      <t>1</t>
    </r>
    <r>
      <rPr>
        <b/>
        <i/>
        <vertAlign val="subscript"/>
        <sz val="12"/>
        <rFont val="Times New Roman"/>
        <family val="1"/>
      </rPr>
      <t>gw</t>
    </r>
  </si>
  <si>
    <r>
      <t>d</t>
    </r>
    <r>
      <rPr>
        <b/>
        <i/>
        <vertAlign val="superscript"/>
        <sz val="12"/>
        <rFont val="Times New Roman"/>
        <family val="1"/>
      </rPr>
      <t>2</t>
    </r>
    <r>
      <rPr>
        <b/>
        <i/>
        <vertAlign val="subscript"/>
        <sz val="12"/>
        <rFont val="Times New Roman"/>
        <family val="1"/>
      </rPr>
      <t>gw</t>
    </r>
  </si>
  <si>
    <r>
      <t>d</t>
    </r>
    <r>
      <rPr>
        <b/>
        <i/>
        <vertAlign val="superscript"/>
        <sz val="12"/>
        <rFont val="Times New Roman"/>
        <family val="1"/>
      </rPr>
      <t>3</t>
    </r>
    <r>
      <rPr>
        <b/>
        <i/>
        <vertAlign val="subscript"/>
        <sz val="12"/>
        <rFont val="Times New Roman"/>
        <family val="1"/>
      </rPr>
      <t>gw</t>
    </r>
  </si>
  <si>
    <t>Inputs*</t>
  </si>
  <si>
    <r>
      <t xml:space="preserve">Chi-square statistics result for lambda: </t>
    </r>
    <r>
      <rPr>
        <b/>
        <sz val="10"/>
        <rFont val="Symbol"/>
        <family val="1"/>
      </rPr>
      <t>l</t>
    </r>
  </si>
  <si>
    <t xml:space="preserve">Module 6: Calculation of Mass Removal Rate by Biodegradation </t>
  </si>
  <si>
    <t>Module 6: Calculation of Surface Water Mass Loading Rate</t>
  </si>
  <si>
    <t>Module 6: Calculation of Target Source Mass and Restoration Time</t>
  </si>
  <si>
    <t>4. Temporal/Spatial Prediction along Plume Centerline (@ y &amp; z = 0) with 1st-order Decay Model</t>
  </si>
  <si>
    <t>1234 Olympia, WA</t>
  </si>
  <si>
    <t>Mass Distribution</t>
  </si>
  <si>
    <t xml:space="preserve">    Calculate by filling in gray cells below. </t>
  </si>
  <si>
    <t>Inputs for Transport Model (Modules 5 &amp; 6)</t>
  </si>
  <si>
    <t xml:space="preserve">                 by 1-D (transformed) Steady State/Continuous Source Assumption</t>
  </si>
  <si>
    <t>Current Continuous Source Concentration, ug/L</t>
  </si>
  <si>
    <t>Intercept</t>
  </si>
  <si>
    <t>4. 1-D Temporal/Spatial Prediction with Bear Equation (1979): Transient Plug-flow model with a longitudinal dispersion</t>
  </si>
  <si>
    <t>Module 6: Comparison: Field Data vs. Predicted by Three Models</t>
  </si>
  <si>
    <t>B. Normalized Groundwater Concentration along Plume Centerline (unitless, at z=0)</t>
  </si>
  <si>
    <t>Ground water Concentrations in Plume (ug/L at z=0)</t>
  </si>
  <si>
    <t>Target Ground water Conc, ug/L :</t>
  </si>
  <si>
    <t>from Ground Water Source: 1st-Order Decay Model used</t>
  </si>
  <si>
    <t>Level of Confidence (Decision Criteria used)</t>
  </si>
  <si>
    <t>1. Input data used for this module</t>
  </si>
  <si>
    <t xml:space="preserve">3. 1-D Steady-state analytical result for estimating </t>
  </si>
  <si>
    <t xml:space="preserve">  contaminant degradation rates: Buscheck and Alcantar (1995)</t>
  </si>
  <si>
    <t>Target GW Level, ug/L</t>
  </si>
  <si>
    <t>Package B: Natural Attenuation Analysis Tool Package for Petroleum-Contaminated Ground Water</t>
  </si>
  <si>
    <t>Total Expressed Assimilative Capacity</t>
  </si>
  <si>
    <t>infinite</t>
  </si>
  <si>
    <t>Target ground water level at a receptor, ug/L @Avg slope</t>
  </si>
  <si>
    <t>July 2005;  Version 1.0: Package B_NAToolPetro10.xls - compatible with MS Excel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</si>
</sst>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0000"/>
    <numFmt numFmtId="166" formatCode="0.000"/>
    <numFmt numFmtId="167" formatCode="0E+00"/>
    <numFmt numFmtId="168" formatCode="0.0"/>
    <numFmt numFmtId="169" formatCode="0.0%"/>
    <numFmt numFmtId="170" formatCode=".0##"/>
    <numFmt numFmtId="171" formatCode="0\ %;\(0\ %\)"/>
    <numFmt numFmtId="172" formatCode="0.00000000"/>
    <numFmt numFmtId="173" formatCode="0.0E+0"/>
    <numFmt numFmtId="174" formatCode="\+0.0;\-0.0"/>
    <numFmt numFmtId="175" formatCode="0.000E+00"/>
    <numFmt numFmtId="176" formatCode="0.0000E+00"/>
    <numFmt numFmtId="177" formatCode="0.00000E+00"/>
    <numFmt numFmtId="178" formatCode="0.00E+0"/>
    <numFmt numFmtId="179" formatCode="0.000E+0"/>
    <numFmt numFmtId="180" formatCode="0.0000%"/>
    <numFmt numFmtId="181" formatCode="0.E+00"/>
    <numFmt numFmtId="182" formatCode="0.0000"/>
    <numFmt numFmtId="183" formatCode="#,##0.0_);[Red]\(#,##0.0\)"/>
    <numFmt numFmtId="184" formatCode="#,##0.000_);[Red]\(#,##0.000\)"/>
    <numFmt numFmtId="185" formatCode="[$-409]dddd\,\ mmmm\ dd\,\ yyyy"/>
    <numFmt numFmtId="186" formatCode="[$-409]mmmm\ d\,\ yyyy;@"/>
    <numFmt numFmtId="187" formatCode="0.00000%"/>
    <numFmt numFmtId="188" formatCode="m/d/yy;@"/>
    <numFmt numFmtId="189" formatCode="[$-409]d\-mmm\-yy;@"/>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00"/>
    <numFmt numFmtId="196" formatCode="0.0000000"/>
    <numFmt numFmtId="197" formatCode="#,##0.000"/>
    <numFmt numFmtId="198" formatCode="#,##0.0"/>
    <numFmt numFmtId="199" formatCode="0.000000000"/>
    <numFmt numFmtId="200" formatCode="0.0000000000"/>
    <numFmt numFmtId="201" formatCode="&quot;$&quot;#,##0"/>
    <numFmt numFmtId="202" formatCode="00000"/>
  </numFmts>
  <fonts count="239">
    <font>
      <sz val="10"/>
      <name val="Geneva"/>
      <family val="0"/>
    </font>
    <font>
      <b/>
      <sz val="10"/>
      <name val="Geneva"/>
      <family val="0"/>
    </font>
    <font>
      <i/>
      <sz val="10"/>
      <name val="Geneva"/>
      <family val="0"/>
    </font>
    <font>
      <b/>
      <i/>
      <sz val="10"/>
      <name val="Geneva"/>
      <family val="0"/>
    </font>
    <font>
      <sz val="10"/>
      <name val="Palatino"/>
      <family val="0"/>
    </font>
    <font>
      <b/>
      <sz val="10"/>
      <name val="Palatino"/>
      <family val="0"/>
    </font>
    <font>
      <b/>
      <sz val="10"/>
      <name val="Arial"/>
      <family val="2"/>
    </font>
    <font>
      <sz val="10"/>
      <name val="Arial"/>
      <family val="2"/>
    </font>
    <font>
      <i/>
      <sz val="9"/>
      <name val="Arial"/>
      <family val="2"/>
    </font>
    <font>
      <i/>
      <sz val="10"/>
      <name val="Arial"/>
      <family val="2"/>
    </font>
    <font>
      <b/>
      <i/>
      <sz val="10"/>
      <name val="Arial"/>
      <family val="2"/>
    </font>
    <font>
      <sz val="16"/>
      <name val="Arial"/>
      <family val="2"/>
    </font>
    <font>
      <sz val="12"/>
      <name val="Arial"/>
      <family val="2"/>
    </font>
    <font>
      <b/>
      <sz val="14"/>
      <name val="Palatino"/>
      <family val="0"/>
    </font>
    <font>
      <b/>
      <sz val="14"/>
      <name val="Arial"/>
      <family val="2"/>
    </font>
    <font>
      <b/>
      <sz val="14"/>
      <color indexed="10"/>
      <name val="Arial"/>
      <family val="2"/>
    </font>
    <font>
      <b/>
      <sz val="14"/>
      <color indexed="32"/>
      <name val="Arial"/>
      <family val="2"/>
    </font>
    <font>
      <b/>
      <sz val="14"/>
      <color indexed="50"/>
      <name val="Arial"/>
      <family val="2"/>
    </font>
    <font>
      <sz val="12"/>
      <color indexed="17"/>
      <name val="Arial"/>
      <family val="2"/>
    </font>
    <font>
      <sz val="12"/>
      <color indexed="10"/>
      <name val="Arial"/>
      <family val="2"/>
    </font>
    <font>
      <sz val="12"/>
      <color indexed="18"/>
      <name val="Arial"/>
      <family val="2"/>
    </font>
    <font>
      <sz val="9"/>
      <name val="Arial"/>
      <family val="2"/>
    </font>
    <font>
      <sz val="9"/>
      <name val="Geneva"/>
      <family val="0"/>
    </font>
    <font>
      <sz val="8"/>
      <name val="Arial"/>
      <family val="2"/>
    </font>
    <font>
      <b/>
      <sz val="10"/>
      <color indexed="10"/>
      <name val="Geneva"/>
      <family val="0"/>
    </font>
    <font>
      <sz val="10"/>
      <color indexed="10"/>
      <name val="Arial"/>
      <family val="2"/>
    </font>
    <font>
      <b/>
      <sz val="10"/>
      <color indexed="12"/>
      <name val="Geneva"/>
      <family val="0"/>
    </font>
    <font>
      <sz val="10"/>
      <color indexed="32"/>
      <name val="Arial"/>
      <family val="2"/>
    </font>
    <font>
      <b/>
      <sz val="10"/>
      <color indexed="50"/>
      <name val="Geneva"/>
      <family val="0"/>
    </font>
    <font>
      <sz val="10"/>
      <color indexed="17"/>
      <name val="Arial"/>
      <family val="2"/>
    </font>
    <font>
      <sz val="10"/>
      <color indexed="8"/>
      <name val="Arial"/>
      <family val="2"/>
    </font>
    <font>
      <sz val="9"/>
      <color indexed="62"/>
      <name val="Arial"/>
      <family val="2"/>
    </font>
    <font>
      <sz val="10"/>
      <color indexed="9"/>
      <name val="Arial"/>
      <family val="2"/>
    </font>
    <font>
      <sz val="10"/>
      <color indexed="9"/>
      <name val="Geneva"/>
      <family val="0"/>
    </font>
    <font>
      <i/>
      <sz val="8"/>
      <name val="Arial"/>
      <family val="2"/>
    </font>
    <font>
      <u val="single"/>
      <sz val="8.1"/>
      <color indexed="12"/>
      <name val="Geneva"/>
      <family val="0"/>
    </font>
    <font>
      <u val="single"/>
      <sz val="8.1"/>
      <color indexed="36"/>
      <name val="Geneva"/>
      <family val="0"/>
    </font>
    <font>
      <sz val="8"/>
      <name val="Palatino"/>
      <family val="0"/>
    </font>
    <font>
      <sz val="8"/>
      <name val="Geneva"/>
      <family val="0"/>
    </font>
    <font>
      <b/>
      <i/>
      <sz val="9"/>
      <name val="Geneva"/>
      <family val="0"/>
    </font>
    <font>
      <b/>
      <i/>
      <sz val="8"/>
      <color indexed="10"/>
      <name val="Geneva"/>
      <family val="0"/>
    </font>
    <font>
      <sz val="11"/>
      <name val="Arial"/>
      <family val="2"/>
    </font>
    <font>
      <i/>
      <sz val="12"/>
      <name val="Arial"/>
      <family val="2"/>
    </font>
    <font>
      <sz val="14"/>
      <name val="Arial"/>
      <family val="2"/>
    </font>
    <font>
      <sz val="10"/>
      <name val="Times New Roman"/>
      <family val="1"/>
    </font>
    <font>
      <vertAlign val="subscript"/>
      <sz val="10"/>
      <name val="Times New Roman"/>
      <family val="1"/>
    </font>
    <font>
      <vertAlign val="superscript"/>
      <sz val="10"/>
      <name val="Times New Roman"/>
      <family val="1"/>
    </font>
    <font>
      <sz val="10"/>
      <color indexed="10"/>
      <name val="Times New Roman"/>
      <family val="1"/>
    </font>
    <font>
      <b/>
      <i/>
      <sz val="14"/>
      <name val="Times New Roman"/>
      <family val="1"/>
    </font>
    <font>
      <b/>
      <i/>
      <vertAlign val="subscript"/>
      <sz val="14"/>
      <name val="Times New Roman"/>
      <family val="1"/>
    </font>
    <font>
      <b/>
      <i/>
      <sz val="14"/>
      <name val="Symbol"/>
      <family val="1"/>
    </font>
    <font>
      <sz val="9"/>
      <color indexed="10"/>
      <name val="Times New Roman"/>
      <family val="1"/>
    </font>
    <font>
      <sz val="9"/>
      <name val="Times New Roman"/>
      <family val="1"/>
    </font>
    <font>
      <sz val="10"/>
      <color indexed="8"/>
      <name val="Times New Roman"/>
      <family val="1"/>
    </font>
    <font>
      <sz val="9"/>
      <color indexed="8"/>
      <name val="Times New Roman"/>
      <family val="1"/>
    </font>
    <font>
      <b/>
      <sz val="20"/>
      <color indexed="8"/>
      <name val="Times New Roman"/>
      <family val="1"/>
    </font>
    <font>
      <b/>
      <sz val="10"/>
      <name val="Times New Roman"/>
      <family val="1"/>
    </font>
    <font>
      <b/>
      <sz val="12"/>
      <name val="Times New Roman"/>
      <family val="1"/>
    </font>
    <font>
      <b/>
      <sz val="11"/>
      <name val="Tahoma"/>
      <family val="2"/>
    </font>
    <font>
      <sz val="11"/>
      <name val="Tahoma"/>
      <family val="2"/>
    </font>
    <font>
      <b/>
      <sz val="12"/>
      <color indexed="20"/>
      <name val="Times New Roman"/>
      <family val="1"/>
    </font>
    <font>
      <sz val="9"/>
      <name val="Tahoma"/>
      <family val="2"/>
    </font>
    <font>
      <vertAlign val="subscript"/>
      <sz val="9"/>
      <name val="Arial"/>
      <family val="2"/>
    </font>
    <font>
      <vertAlign val="superscript"/>
      <sz val="9"/>
      <name val="Arial"/>
      <family val="2"/>
    </font>
    <font>
      <sz val="7"/>
      <color indexed="8"/>
      <name val="Arial"/>
      <family val="2"/>
    </font>
    <font>
      <sz val="8"/>
      <color indexed="8"/>
      <name val="Arial"/>
      <family val="2"/>
    </font>
    <font>
      <b/>
      <i/>
      <u val="single"/>
      <sz val="11"/>
      <color indexed="12"/>
      <name val="Arial"/>
      <family val="2"/>
    </font>
    <font>
      <b/>
      <i/>
      <u val="single"/>
      <vertAlign val="subscript"/>
      <sz val="11"/>
      <color indexed="12"/>
      <name val="Arial"/>
      <family val="2"/>
    </font>
    <font>
      <b/>
      <i/>
      <sz val="11"/>
      <name val="Arial"/>
      <family val="2"/>
    </font>
    <font>
      <b/>
      <i/>
      <u val="single"/>
      <sz val="11"/>
      <color indexed="12"/>
      <name val="Symbol"/>
      <family val="1"/>
    </font>
    <font>
      <b/>
      <i/>
      <sz val="11"/>
      <name val="Symbol"/>
      <family val="1"/>
    </font>
    <font>
      <b/>
      <i/>
      <vertAlign val="subscript"/>
      <sz val="11"/>
      <name val="Geneva"/>
      <family val="0"/>
    </font>
    <font>
      <b/>
      <i/>
      <vertAlign val="subscript"/>
      <sz val="11"/>
      <name val="Arial"/>
      <family val="2"/>
    </font>
    <font>
      <b/>
      <i/>
      <sz val="9"/>
      <name val="Arial"/>
      <family val="2"/>
    </font>
    <font>
      <b/>
      <u val="single"/>
      <sz val="10"/>
      <name val="Palatino"/>
      <family val="1"/>
    </font>
    <font>
      <sz val="9"/>
      <color indexed="9"/>
      <name val="Arial"/>
      <family val="2"/>
    </font>
    <font>
      <sz val="10"/>
      <name val="Helv"/>
      <family val="0"/>
    </font>
    <font>
      <i/>
      <sz val="9"/>
      <color indexed="52"/>
      <name val="Arial"/>
      <family val="2"/>
    </font>
    <font>
      <b/>
      <i/>
      <sz val="8"/>
      <name val="Times New Roman"/>
      <family val="1"/>
    </font>
    <font>
      <b/>
      <sz val="12"/>
      <name val="Arial"/>
      <family val="2"/>
    </font>
    <font>
      <sz val="7"/>
      <name val="Palatino"/>
      <family val="0"/>
    </font>
    <font>
      <b/>
      <i/>
      <sz val="10"/>
      <name val="Symbol"/>
      <family val="1"/>
    </font>
    <font>
      <b/>
      <sz val="12"/>
      <color indexed="8"/>
      <name val="Arial"/>
      <family val="2"/>
    </font>
    <font>
      <b/>
      <sz val="14"/>
      <name val="Times New Roman"/>
      <family val="1"/>
    </font>
    <font>
      <b/>
      <sz val="8"/>
      <name val="Times New Roman"/>
      <family val="1"/>
    </font>
    <font>
      <sz val="8"/>
      <name val="Times New Roman"/>
      <family val="1"/>
    </font>
    <font>
      <b/>
      <sz val="16"/>
      <name val="Times New Roman"/>
      <family val="1"/>
    </font>
    <font>
      <b/>
      <u val="single"/>
      <sz val="16"/>
      <name val="Palatino"/>
      <family val="1"/>
    </font>
    <font>
      <b/>
      <sz val="11"/>
      <color indexed="52"/>
      <name val="Palatino"/>
      <family val="1"/>
    </font>
    <font>
      <sz val="11"/>
      <color indexed="52"/>
      <name val="Arial"/>
      <family val="2"/>
    </font>
    <font>
      <b/>
      <sz val="10"/>
      <color indexed="20"/>
      <name val="Times New Roman"/>
      <family val="1"/>
    </font>
    <font>
      <b/>
      <sz val="10"/>
      <name val="Helvetica"/>
      <family val="2"/>
    </font>
    <font>
      <sz val="10"/>
      <color indexed="41"/>
      <name val="Arial"/>
      <family val="2"/>
    </font>
    <font>
      <b/>
      <i/>
      <sz val="12"/>
      <name val="Symbol"/>
      <family val="1"/>
    </font>
    <font>
      <i/>
      <sz val="9"/>
      <name val="Times New Roman"/>
      <family val="1"/>
    </font>
    <font>
      <b/>
      <i/>
      <sz val="10"/>
      <name val="Times New Roman"/>
      <family val="1"/>
    </font>
    <font>
      <sz val="11"/>
      <name val="Times New Roman"/>
      <family val="1"/>
    </font>
    <font>
      <sz val="16"/>
      <name val="Times New Roman"/>
      <family val="1"/>
    </font>
    <font>
      <i/>
      <sz val="10"/>
      <name val="Times New Roman"/>
      <family val="1"/>
    </font>
    <font>
      <i/>
      <sz val="10"/>
      <color indexed="8"/>
      <name val="Times New Roman"/>
      <family val="1"/>
    </font>
    <font>
      <sz val="16"/>
      <color indexed="8"/>
      <name val="Times New Roman"/>
      <family val="1"/>
    </font>
    <font>
      <i/>
      <sz val="10"/>
      <color indexed="61"/>
      <name val="Times New Roman"/>
      <family val="1"/>
    </font>
    <font>
      <sz val="10"/>
      <color indexed="9"/>
      <name val="Times New Roman"/>
      <family val="1"/>
    </font>
    <font>
      <b/>
      <sz val="10"/>
      <color indexed="8"/>
      <name val="Times New Roman"/>
      <family val="1"/>
    </font>
    <font>
      <b/>
      <i/>
      <u val="single"/>
      <sz val="10"/>
      <color indexed="8"/>
      <name val="Times New Roman"/>
      <family val="1"/>
    </font>
    <font>
      <b/>
      <i/>
      <u val="single"/>
      <sz val="11"/>
      <color indexed="48"/>
      <name val="Times New Roman"/>
      <family val="1"/>
    </font>
    <font>
      <b/>
      <i/>
      <u val="single"/>
      <sz val="11"/>
      <color indexed="12"/>
      <name val="Geneva"/>
      <family val="0"/>
    </font>
    <font>
      <b/>
      <i/>
      <vertAlign val="subscript"/>
      <sz val="11"/>
      <color indexed="12"/>
      <name val="Geneva"/>
      <family val="0"/>
    </font>
    <font>
      <sz val="12"/>
      <name val="Times New Roman"/>
      <family val="1"/>
    </font>
    <font>
      <b/>
      <i/>
      <sz val="11"/>
      <name val="Times New Roman"/>
      <family val="1"/>
    </font>
    <font>
      <b/>
      <i/>
      <vertAlign val="subscript"/>
      <sz val="11"/>
      <name val="Times New Roman"/>
      <family val="1"/>
    </font>
    <font>
      <sz val="8"/>
      <color indexed="8"/>
      <name val="Times New Roman"/>
      <family val="1"/>
    </font>
    <font>
      <b/>
      <i/>
      <u val="single"/>
      <sz val="10"/>
      <name val="Times New Roman"/>
      <family val="1"/>
    </font>
    <font>
      <sz val="8"/>
      <name val="Tahoma"/>
      <family val="2"/>
    </font>
    <font>
      <b/>
      <sz val="8"/>
      <name val="Tahoma"/>
      <family val="2"/>
    </font>
    <font>
      <b/>
      <sz val="11"/>
      <name val="Symbol"/>
      <family val="1"/>
    </font>
    <font>
      <b/>
      <vertAlign val="subscript"/>
      <sz val="11"/>
      <name val="Times New Roman"/>
      <family val="1"/>
    </font>
    <font>
      <sz val="14"/>
      <name val="Times New Roman"/>
      <family val="1"/>
    </font>
    <font>
      <b/>
      <sz val="11"/>
      <color indexed="56"/>
      <name val="Times New Roman"/>
      <family val="1"/>
    </font>
    <font>
      <b/>
      <sz val="9"/>
      <name val="Times New Roman"/>
      <family val="1"/>
    </font>
    <font>
      <b/>
      <sz val="10"/>
      <color indexed="12"/>
      <name val="Times New Roman"/>
      <family val="1"/>
    </font>
    <font>
      <b/>
      <sz val="10"/>
      <color indexed="10"/>
      <name val="Times New Roman"/>
      <family val="1"/>
    </font>
    <font>
      <sz val="10"/>
      <color indexed="17"/>
      <name val="Times New Roman"/>
      <family val="1"/>
    </font>
    <font>
      <i/>
      <sz val="11"/>
      <name val="Times New Roman"/>
      <family val="1"/>
    </font>
    <font>
      <b/>
      <sz val="11"/>
      <name val="Times New Roman"/>
      <family val="1"/>
    </font>
    <font>
      <b/>
      <i/>
      <sz val="11"/>
      <color indexed="14"/>
      <name val="Times New Roman"/>
      <family val="1"/>
    </font>
    <font>
      <b/>
      <i/>
      <sz val="8"/>
      <color indexed="10"/>
      <name val="Times New Roman"/>
      <family val="1"/>
    </font>
    <font>
      <sz val="10"/>
      <color indexed="32"/>
      <name val="Times New Roman"/>
      <family val="1"/>
    </font>
    <font>
      <b/>
      <i/>
      <sz val="12"/>
      <name val="Times New Roman"/>
      <family val="1"/>
    </font>
    <font>
      <b/>
      <i/>
      <vertAlign val="subscript"/>
      <sz val="12"/>
      <name val="Times New Roman"/>
      <family val="1"/>
    </font>
    <font>
      <b/>
      <sz val="9"/>
      <color indexed="10"/>
      <name val="Times New Roman"/>
      <family val="1"/>
    </font>
    <font>
      <b/>
      <sz val="10"/>
      <color indexed="56"/>
      <name val="Times New Roman"/>
      <family val="1"/>
    </font>
    <font>
      <sz val="10"/>
      <name val="Symbol"/>
      <family val="1"/>
    </font>
    <font>
      <b/>
      <u val="single"/>
      <sz val="8"/>
      <name val="Times New Roman"/>
      <family val="1"/>
    </font>
    <font>
      <b/>
      <vertAlign val="superscript"/>
      <sz val="10"/>
      <name val="Times New Roman"/>
      <family val="1"/>
    </font>
    <font>
      <b/>
      <u val="single"/>
      <sz val="10"/>
      <name val="Times New Roman"/>
      <family val="1"/>
    </font>
    <font>
      <i/>
      <sz val="7"/>
      <name val="Times New Roman"/>
      <family val="1"/>
    </font>
    <font>
      <sz val="7"/>
      <name val="Times New Roman"/>
      <family val="1"/>
    </font>
    <font>
      <vertAlign val="subscript"/>
      <sz val="11"/>
      <name val="Times New Roman"/>
      <family val="1"/>
    </font>
    <font>
      <i/>
      <vertAlign val="subscript"/>
      <sz val="12"/>
      <name val="Times New Roman"/>
      <family val="1"/>
    </font>
    <font>
      <sz val="11"/>
      <color indexed="10"/>
      <name val="Times New Roman"/>
      <family val="1"/>
    </font>
    <font>
      <b/>
      <vertAlign val="superscript"/>
      <sz val="10"/>
      <color indexed="8"/>
      <name val="Times New Roman"/>
      <family val="1"/>
    </font>
    <font>
      <i/>
      <u val="single"/>
      <sz val="9"/>
      <color indexed="12"/>
      <name val="Geneva"/>
      <family val="0"/>
    </font>
    <font>
      <i/>
      <sz val="7.5"/>
      <color indexed="12"/>
      <name val="Times New Roman"/>
      <family val="1"/>
    </font>
    <font>
      <vertAlign val="subscript"/>
      <sz val="9"/>
      <name val="Times New Roman"/>
      <family val="1"/>
    </font>
    <font>
      <vertAlign val="superscript"/>
      <sz val="9"/>
      <name val="Times New Roman"/>
      <family val="1"/>
    </font>
    <font>
      <vertAlign val="superscript"/>
      <sz val="9"/>
      <color indexed="10"/>
      <name val="Times New Roman"/>
      <family val="1"/>
    </font>
    <font>
      <vertAlign val="subscript"/>
      <sz val="9"/>
      <color indexed="10"/>
      <name val="Times New Roman"/>
      <family val="1"/>
    </font>
    <font>
      <sz val="9.5"/>
      <name val="Times New Roman"/>
      <family val="1"/>
    </font>
    <font>
      <sz val="9.5"/>
      <color indexed="8"/>
      <name val="Times New Roman"/>
      <family val="1"/>
    </font>
    <font>
      <i/>
      <sz val="9.5"/>
      <name val="Times New Roman"/>
      <family val="1"/>
    </font>
    <font>
      <b/>
      <sz val="9.5"/>
      <name val="Times New Roman"/>
      <family val="1"/>
    </font>
    <font>
      <sz val="6"/>
      <name val="Times New Roman"/>
      <family val="1"/>
    </font>
    <font>
      <b/>
      <sz val="6"/>
      <name val="Times New Roman"/>
      <family val="1"/>
    </font>
    <font>
      <sz val="14"/>
      <name val="Tahoma"/>
      <family val="2"/>
    </font>
    <font>
      <b/>
      <i/>
      <u val="single"/>
      <sz val="12"/>
      <name val="Times New Roman"/>
      <family val="1"/>
    </font>
    <font>
      <b/>
      <i/>
      <u val="single"/>
      <sz val="11"/>
      <name val="Times New Roman"/>
      <family val="1"/>
    </font>
    <font>
      <b/>
      <i/>
      <u val="single"/>
      <sz val="14"/>
      <name val="Times New Roman"/>
      <family val="1"/>
    </font>
    <font>
      <vertAlign val="superscript"/>
      <sz val="9"/>
      <color indexed="8"/>
      <name val="Times New Roman"/>
      <family val="1"/>
    </font>
    <font>
      <b/>
      <i/>
      <vertAlign val="superscript"/>
      <sz val="10"/>
      <name val="Times New Roman"/>
      <family val="1"/>
    </font>
    <font>
      <b/>
      <i/>
      <vertAlign val="superscript"/>
      <sz val="12"/>
      <name val="Times New Roman"/>
      <family val="1"/>
    </font>
    <font>
      <b/>
      <sz val="10"/>
      <name val="Symbol"/>
      <family val="1"/>
    </font>
    <font>
      <sz val="9"/>
      <color indexed="8"/>
      <name val="Palatino"/>
      <family val="0"/>
    </font>
    <font>
      <sz val="12"/>
      <color indexed="8"/>
      <name val="Palatino"/>
      <family val="0"/>
    </font>
    <font>
      <i/>
      <sz val="9.2"/>
      <color indexed="8"/>
      <name val="Arial"/>
      <family val="2"/>
    </font>
    <font>
      <sz val="2.25"/>
      <color indexed="8"/>
      <name val="Arial"/>
      <family val="2"/>
    </font>
    <font>
      <sz val="1.75"/>
      <color indexed="8"/>
      <name val="Arial"/>
      <family val="2"/>
    </font>
    <font>
      <b/>
      <sz val="2.25"/>
      <color indexed="8"/>
      <name val="Times New Roman"/>
      <family val="1"/>
    </font>
    <font>
      <sz val="9.5"/>
      <color indexed="8"/>
      <name val="Arial"/>
      <family val="2"/>
    </font>
    <font>
      <sz val="12"/>
      <color indexed="8"/>
      <name val="Times New Roman"/>
      <family val="1"/>
    </font>
    <font>
      <sz val="13.5"/>
      <color indexed="8"/>
      <name val="Times New Roman"/>
      <family val="1"/>
    </font>
    <font>
      <sz val="16.5"/>
      <color indexed="8"/>
      <name val="Times New Roman"/>
      <family val="1"/>
    </font>
    <font>
      <sz val="9.85"/>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8.25"/>
      <color indexed="8"/>
      <name val="Arial"/>
      <family val="2"/>
    </font>
    <font>
      <sz val="10.75"/>
      <color indexed="8"/>
      <name val="Times New Roman"/>
      <family val="1"/>
    </font>
    <font>
      <sz val="6.4"/>
      <color indexed="8"/>
      <name val="Arial"/>
      <family val="2"/>
    </font>
    <font>
      <vertAlign val="superscript"/>
      <sz val="10.75"/>
      <color indexed="8"/>
      <name val="Times New Roman"/>
      <family val="1"/>
    </font>
    <font>
      <sz val="8.5"/>
      <color indexed="8"/>
      <name val="Arial"/>
      <family val="2"/>
    </font>
    <font>
      <sz val="7.35"/>
      <color indexed="8"/>
      <name val="Times New Roman"/>
      <family val="1"/>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Times New Roman"/>
      <family val="1"/>
    </font>
    <font>
      <i/>
      <sz val="12"/>
      <color indexed="8"/>
      <name val="Times New Roman"/>
      <family val="1"/>
    </font>
    <font>
      <i/>
      <sz val="10"/>
      <color indexed="8"/>
      <name val="Geneva"/>
      <family val="0"/>
    </font>
    <font>
      <sz val="9"/>
      <color indexed="8"/>
      <name val="Geneva"/>
      <family val="0"/>
    </font>
    <font>
      <b/>
      <i/>
      <sz val="11"/>
      <color indexed="8"/>
      <name val="Geneva"/>
      <family val="0"/>
    </font>
    <font>
      <sz val="10"/>
      <color indexed="8"/>
      <name val="Geneva"/>
      <family val="0"/>
    </font>
    <font>
      <i/>
      <sz val="8"/>
      <color indexed="8"/>
      <name val="Arial"/>
      <family val="2"/>
    </font>
    <font>
      <b/>
      <sz val="12"/>
      <color indexed="8"/>
      <name val="Palatino"/>
      <family val="0"/>
    </font>
    <font>
      <b/>
      <sz val="7"/>
      <color indexed="8"/>
      <name val="Palatino"/>
      <family val="0"/>
    </font>
    <font>
      <b/>
      <sz val="11"/>
      <color indexed="8"/>
      <name val="Palatino"/>
      <family val="0"/>
    </font>
    <font>
      <sz val="7"/>
      <color indexed="8"/>
      <name val="Times New Roman"/>
      <family val="1"/>
    </font>
    <font>
      <sz val="8"/>
      <color indexed="8"/>
      <name val="Geneva"/>
      <family val="0"/>
    </font>
    <font>
      <b/>
      <sz val="2.25"/>
      <color indexed="8"/>
      <name val="Arial"/>
      <family val="2"/>
    </font>
    <font>
      <b/>
      <sz val="2.5"/>
      <color indexed="8"/>
      <name val="Arial"/>
      <family val="2"/>
    </font>
    <font>
      <b/>
      <sz val="8"/>
      <color indexed="8"/>
      <name val="Arial"/>
      <family val="2"/>
    </font>
    <font>
      <b/>
      <sz val="7"/>
      <color indexed="8"/>
      <name val="Arial"/>
      <family val="2"/>
    </font>
    <font>
      <b/>
      <sz val="12"/>
      <color indexed="8"/>
      <name val="Times New Roman"/>
      <family val="1"/>
    </font>
    <font>
      <sz val="15.75"/>
      <color indexed="8"/>
      <name val="Times New Roman"/>
      <family val="1"/>
    </font>
    <font>
      <b/>
      <sz val="8.25"/>
      <color indexed="8"/>
      <name val="Arial"/>
      <family val="2"/>
    </font>
    <font>
      <b/>
      <sz val="9"/>
      <color indexed="8"/>
      <name val="Times New Roman"/>
      <family val="1"/>
    </font>
    <font>
      <b/>
      <sz val="9.75"/>
      <color indexed="8"/>
      <name val="Arial"/>
      <family val="2"/>
    </font>
    <font>
      <b/>
      <sz val="9.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4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65"/>
        <bgColor indexed="64"/>
      </patternFill>
    </fill>
  </fills>
  <borders count="3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6"/>
      </left>
      <right style="thin">
        <color indexed="56"/>
      </right>
      <top style="thin">
        <color indexed="56"/>
      </top>
      <bottom style="thin">
        <color indexed="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style="hair"/>
    </border>
    <border>
      <left style="thin"/>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10"/>
      </top>
      <bottom style="thin">
        <color indexed="10"/>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color indexed="12"/>
      </top>
      <bottom style="thin">
        <color indexed="12"/>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style="thin"/>
      <right style="medium"/>
      <top style="thin"/>
      <bottom style="thin"/>
    </border>
    <border>
      <left style="thin"/>
      <right style="medium"/>
      <top style="thin"/>
      <bottom style="medium"/>
    </border>
    <border>
      <left style="medium"/>
      <right>
        <color indexed="63"/>
      </right>
      <top style="hair"/>
      <bottom style="hair"/>
    </border>
    <border>
      <left>
        <color indexed="63"/>
      </left>
      <right>
        <color indexed="63"/>
      </right>
      <top style="hair"/>
      <bottom style="hair"/>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color indexed="8"/>
      </left>
      <right style="hair">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double">
        <color indexed="8"/>
      </left>
      <right style="hair">
        <color indexed="39"/>
      </right>
      <top style="hair">
        <color indexed="39"/>
      </top>
      <bottom style="double">
        <color indexed="8"/>
      </bottom>
    </border>
    <border>
      <left style="hair">
        <color indexed="39"/>
      </left>
      <right style="hair">
        <color indexed="39"/>
      </right>
      <top style="hair">
        <color indexed="39"/>
      </top>
      <bottom style="double">
        <color indexed="8"/>
      </bottom>
    </border>
    <border>
      <left style="thin">
        <color indexed="56"/>
      </left>
      <right style="thin">
        <color indexed="9"/>
      </right>
      <top style="thin">
        <color indexed="56"/>
      </top>
      <bottom style="thin">
        <color indexed="56"/>
      </bottom>
    </border>
    <border>
      <left style="thin">
        <color indexed="9"/>
      </left>
      <right style="thin">
        <color indexed="56"/>
      </right>
      <top style="thin">
        <color indexed="56"/>
      </top>
      <bottom style="thin">
        <color indexed="56"/>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uble"/>
    </border>
    <border>
      <left style="medium"/>
      <right>
        <color indexed="63"/>
      </right>
      <top style="medium"/>
      <bottom style="medium"/>
    </border>
    <border>
      <left style="thin">
        <color indexed="56"/>
      </left>
      <right style="thin">
        <color indexed="56"/>
      </right>
      <top style="thin">
        <color indexed="56"/>
      </top>
      <bottom style="thin"/>
    </border>
    <border>
      <left>
        <color indexed="63"/>
      </left>
      <right style="hair"/>
      <top style="medium"/>
      <bottom style="thin"/>
    </border>
    <border>
      <left style="hair"/>
      <right style="hair"/>
      <top style="medium"/>
      <bottom style="double"/>
    </border>
    <border>
      <left style="hair"/>
      <right>
        <color indexed="63"/>
      </right>
      <top style="hair"/>
      <bottom style="hair">
        <color indexed="23"/>
      </bottom>
    </border>
    <border>
      <left style="hair"/>
      <right>
        <color indexed="63"/>
      </right>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color indexed="63"/>
      </right>
      <top>
        <color indexed="63"/>
      </top>
      <bottom style="thin"/>
    </border>
    <border>
      <left style="double"/>
      <right style="hair"/>
      <top style="double"/>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hair"/>
      <top style="hair"/>
      <bottom style="hair"/>
    </border>
    <border>
      <left style="double"/>
      <right style="double"/>
      <top style="double"/>
      <bottom style="double"/>
    </border>
    <border>
      <left style="thin"/>
      <right>
        <color indexed="63"/>
      </right>
      <top>
        <color indexed="63"/>
      </top>
      <bottom style="thin"/>
    </border>
    <border>
      <left>
        <color indexed="63"/>
      </left>
      <right style="thin"/>
      <top>
        <color indexed="63"/>
      </top>
      <bottom style="thin"/>
    </border>
    <border>
      <left style="hair"/>
      <right style="hair"/>
      <top style="hair"/>
      <bottom style="thin"/>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style="thin"/>
      <top style="medium"/>
      <bottom style="medium"/>
    </border>
    <border>
      <left style="medium"/>
      <right style="thin"/>
      <top>
        <color indexed="63"/>
      </top>
      <bottom>
        <color indexed="63"/>
      </bottom>
    </border>
    <border>
      <left style="medium"/>
      <right style="thin"/>
      <top style="thin"/>
      <bottom style="double"/>
    </border>
    <border>
      <left>
        <color indexed="63"/>
      </left>
      <right>
        <color indexed="63"/>
      </right>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style="hair"/>
      <right style="medium"/>
      <top style="thin"/>
      <bottom style="double"/>
    </border>
    <border>
      <left>
        <color indexed="63"/>
      </left>
      <right style="hair"/>
      <top style="double"/>
      <bottom style="hair"/>
    </border>
    <border>
      <left>
        <color indexed="63"/>
      </left>
      <right style="hair"/>
      <top style="hair"/>
      <bottom style="medium"/>
    </border>
    <border>
      <left style="hair"/>
      <right style="thin"/>
      <top style="hair"/>
      <bottom style="medium"/>
    </border>
    <border>
      <left>
        <color indexed="63"/>
      </left>
      <right style="hair"/>
      <top style="medium"/>
      <bottom style="hair"/>
    </border>
    <border>
      <left style="hair"/>
      <right style="thin"/>
      <top style="medium"/>
      <bottom style="hair"/>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style="thin"/>
      <right style="thin"/>
      <top style="thin"/>
      <bottom style="double"/>
    </border>
    <border>
      <left style="thin"/>
      <right style="medium"/>
      <top style="thin"/>
      <bottom style="double"/>
    </border>
    <border>
      <left style="hair"/>
      <right>
        <color indexed="63"/>
      </right>
      <top style="double"/>
      <bottom style="hair"/>
    </border>
    <border>
      <left style="thin"/>
      <right style="thin"/>
      <top style="double"/>
      <bottom style="hair"/>
    </border>
    <border>
      <left style="hair"/>
      <right>
        <color indexed="63"/>
      </right>
      <top style="hair"/>
      <bottom style="hair"/>
    </border>
    <border>
      <left style="thin"/>
      <right style="thin"/>
      <top style="hair"/>
      <bottom style="hair"/>
    </border>
    <border>
      <left style="thin"/>
      <right style="thin"/>
      <top style="hair"/>
      <bottom style="thin"/>
    </border>
    <border>
      <left style="hair"/>
      <right>
        <color indexed="63"/>
      </right>
      <top style="thin"/>
      <bottom style="thin"/>
    </border>
    <border>
      <left style="hair"/>
      <right>
        <color indexed="63"/>
      </right>
      <top>
        <color indexed="63"/>
      </top>
      <bottom>
        <color indexed="63"/>
      </bottom>
    </border>
    <border>
      <left style="medium"/>
      <right style="hair"/>
      <top style="medium"/>
      <bottom style="medium"/>
    </border>
    <border>
      <left style="hair"/>
      <right>
        <color indexed="63"/>
      </right>
      <top style="medium"/>
      <bottom style="medium"/>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style="hair"/>
      <right style="medium"/>
      <top style="double"/>
      <bottom style="hair"/>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medium"/>
      <bottom style="medium"/>
    </border>
    <border>
      <left style="medium"/>
      <right>
        <color indexed="63"/>
      </right>
      <top>
        <color indexed="63"/>
      </top>
      <bottom style="double"/>
    </border>
    <border>
      <left>
        <color indexed="63"/>
      </left>
      <right style="medium"/>
      <top>
        <color indexed="63"/>
      </top>
      <bottom style="double"/>
    </border>
    <border>
      <left style="double"/>
      <right style="medium"/>
      <top style="double"/>
      <bottom style="double"/>
    </border>
    <border>
      <left style="double"/>
      <right style="medium"/>
      <top style="double"/>
      <bottom style="medium"/>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thin"/>
    </border>
    <border>
      <left style="medium"/>
      <right style="hair"/>
      <top>
        <color indexed="63"/>
      </top>
      <bottom style="medium"/>
    </border>
    <border>
      <left style="hair"/>
      <right style="hair"/>
      <top>
        <color indexed="63"/>
      </top>
      <bottom style="medium"/>
    </border>
    <border>
      <left style="thin"/>
      <right style="medium"/>
      <top>
        <color indexed="63"/>
      </top>
      <bottom>
        <color indexed="63"/>
      </bottom>
    </border>
    <border>
      <left>
        <color indexed="63"/>
      </left>
      <right>
        <color indexed="63"/>
      </right>
      <top style="double"/>
      <bottom style="hair"/>
    </border>
    <border>
      <left style="medium"/>
      <right>
        <color indexed="63"/>
      </right>
      <top style="double"/>
      <bottom style="hair"/>
    </border>
    <border>
      <left style="double"/>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style="double"/>
      <top style="hair"/>
      <bottom style="hair"/>
    </border>
    <border>
      <left style="double"/>
      <right>
        <color indexed="63"/>
      </right>
      <top>
        <color indexed="63"/>
      </top>
      <bottom style="medium"/>
    </border>
    <border>
      <left>
        <color indexed="63"/>
      </left>
      <right style="double"/>
      <top>
        <color indexed="63"/>
      </top>
      <bottom style="medium"/>
    </border>
    <border>
      <left style="double"/>
      <right style="thin"/>
      <top style="double"/>
      <bottom style="hair"/>
    </border>
    <border>
      <left>
        <color indexed="63"/>
      </left>
      <right style="double"/>
      <top style="double"/>
      <bottom style="thin"/>
    </border>
    <border>
      <left>
        <color indexed="63"/>
      </left>
      <right style="double"/>
      <top>
        <color indexed="63"/>
      </top>
      <bottom style="hair"/>
    </border>
    <border>
      <left>
        <color indexed="63"/>
      </left>
      <right style="double"/>
      <top style="hair"/>
      <bottom style="medium"/>
    </border>
    <border>
      <left>
        <color indexed="63"/>
      </left>
      <right style="double"/>
      <top style="medium"/>
      <bottom style="thin"/>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double"/>
    </border>
    <border>
      <left style="double"/>
      <right style="hair"/>
      <top style="thin"/>
      <bottom style="hair"/>
    </border>
    <border>
      <left>
        <color indexed="63"/>
      </left>
      <right style="thin"/>
      <top style="thin"/>
      <bottom style="hair"/>
    </border>
    <border>
      <left style="double"/>
      <right style="hair"/>
      <top style="hair"/>
      <bottom style="thin"/>
    </border>
    <border>
      <left>
        <color indexed="63"/>
      </left>
      <right style="hair"/>
      <top style="hair"/>
      <bottom style="thin"/>
    </border>
    <border>
      <left>
        <color indexed="63"/>
      </left>
      <right style="thin"/>
      <top style="hair"/>
      <bottom style="thin"/>
    </border>
    <border>
      <left style="double"/>
      <right>
        <color indexed="63"/>
      </right>
      <top style="thin"/>
      <bottom style="double"/>
    </border>
    <border>
      <left style="hair"/>
      <right>
        <color indexed="63"/>
      </right>
      <top style="thin"/>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thin"/>
      <top style="double"/>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hair"/>
      <top style="hair"/>
      <bottom style="medium"/>
    </border>
    <border>
      <left style="double"/>
      <right style="hair"/>
      <top style="medium"/>
      <bottom style="double"/>
    </border>
    <border>
      <left style="hair"/>
      <right style="medium"/>
      <top style="medium"/>
      <bottom style="double"/>
    </border>
    <border>
      <left style="medium"/>
      <right style="double"/>
      <top style="medium"/>
      <bottom style="hair"/>
    </border>
    <border>
      <left style="medium"/>
      <right style="double"/>
      <top style="hair"/>
      <bottom style="hair"/>
    </border>
    <border>
      <left style="medium"/>
      <right style="double"/>
      <top style="hair"/>
      <bottom style="medium"/>
    </border>
    <border>
      <left style="double"/>
      <right style="hair"/>
      <top style="hair"/>
      <bottom style="medium"/>
    </border>
    <border>
      <left style="hair"/>
      <right>
        <color indexed="63"/>
      </right>
      <top>
        <color indexed="63"/>
      </top>
      <bottom style="thin"/>
    </border>
    <border>
      <left style="hair"/>
      <right>
        <color indexed="63"/>
      </right>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medium"/>
      <bottom>
        <color indexed="63"/>
      </bottom>
    </border>
    <border>
      <left style="medium"/>
      <right style="medium"/>
      <top style="double"/>
      <bottom>
        <color indexed="63"/>
      </bottom>
    </border>
    <border>
      <left style="medium"/>
      <right style="medium"/>
      <top style="hair"/>
      <bottom>
        <color indexed="63"/>
      </botto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double"/>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double"/>
      <right style="thin"/>
      <top style="thin"/>
      <bottom style="double"/>
    </border>
    <border>
      <left style="double"/>
      <right style="thin"/>
      <top style="hair"/>
      <bottom style="hair"/>
    </border>
    <border>
      <left style="double"/>
      <right style="thin"/>
      <top>
        <color indexed="63"/>
      </top>
      <bottom style="medium"/>
    </border>
    <border>
      <left style="double"/>
      <right style="thin"/>
      <top>
        <color indexed="63"/>
      </top>
      <bottom>
        <color indexed="63"/>
      </bottom>
    </border>
    <border>
      <left style="thin"/>
      <right>
        <color indexed="63"/>
      </right>
      <top style="medium"/>
      <bottom style="medium"/>
    </border>
    <border>
      <left style="medium"/>
      <right style="hair"/>
      <top style="medium"/>
      <bottom style="double"/>
    </border>
    <border>
      <left style="medium"/>
      <right style="medium"/>
      <top style="medium"/>
      <bottom style="double"/>
    </border>
    <border>
      <left>
        <color indexed="63"/>
      </left>
      <right>
        <color indexed="63"/>
      </right>
      <top style="hair"/>
      <bottom style="thin"/>
    </border>
    <border>
      <left style="hair"/>
      <right style="medium"/>
      <top style="hair"/>
      <bottom style="thin"/>
    </border>
    <border>
      <left>
        <color indexed="63"/>
      </left>
      <right>
        <color indexed="63"/>
      </right>
      <top style="thin"/>
      <bottom style="hair"/>
    </border>
    <border>
      <left style="hair"/>
      <right style="medium"/>
      <top style="thin"/>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color indexed="63"/>
      </top>
      <bottom style="thin"/>
    </border>
    <border>
      <left style="double"/>
      <right style="medium"/>
      <top>
        <color indexed="63"/>
      </top>
      <bottom style="thin"/>
    </border>
    <border>
      <left style="double"/>
      <right style="medium"/>
      <top style="thin"/>
      <bottom style="hair"/>
    </border>
    <border>
      <left style="double"/>
      <right style="medium"/>
      <top style="double"/>
      <bottom style="hair"/>
    </border>
    <border>
      <left style="thin"/>
      <right>
        <color indexed="63"/>
      </right>
      <top style="thin"/>
      <bottom style="thin"/>
    </border>
    <border>
      <left>
        <color indexed="63"/>
      </left>
      <right>
        <color indexed="63"/>
      </right>
      <top>
        <color indexed="63"/>
      </top>
      <bottom style="thin">
        <color indexed="10"/>
      </bottom>
    </border>
    <border>
      <left style="thin"/>
      <right>
        <color indexed="63"/>
      </right>
      <top style="thin">
        <color indexed="10"/>
      </top>
      <bottom style="thin">
        <color indexed="10"/>
      </bottom>
    </border>
    <border>
      <left>
        <color indexed="63"/>
      </left>
      <right style="thin"/>
      <top style="thin">
        <color indexed="10"/>
      </top>
      <bottom style="thin">
        <color indexed="10"/>
      </bottom>
    </border>
    <border>
      <left style="thin"/>
      <right>
        <color indexed="63"/>
      </right>
      <top style="thin">
        <color indexed="12"/>
      </top>
      <bottom style="thin"/>
    </border>
    <border>
      <left>
        <color indexed="63"/>
      </left>
      <right>
        <color indexed="63"/>
      </right>
      <top style="thin">
        <color indexed="12"/>
      </top>
      <bottom style="thin"/>
    </border>
    <border>
      <left>
        <color indexed="63"/>
      </left>
      <right style="thin"/>
      <top style="thin">
        <color indexed="12"/>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double"/>
      <top style="thin"/>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color indexed="39"/>
      </left>
      <right style="thin">
        <color indexed="39"/>
      </right>
      <top style="thin">
        <color indexed="39"/>
      </top>
      <bottom style="thin">
        <color indexed="56"/>
      </bottom>
    </border>
    <border>
      <left style="double">
        <color indexed="8"/>
      </left>
      <right style="hair">
        <color indexed="39"/>
      </right>
      <top style="double">
        <color indexed="8"/>
      </top>
      <bottom style="hair">
        <color indexed="39"/>
      </bottom>
    </border>
    <border>
      <left style="hair">
        <color indexed="39"/>
      </left>
      <right style="hair">
        <color indexed="39"/>
      </right>
      <top style="double">
        <color indexed="8"/>
      </top>
      <bottom style="hair">
        <color indexed="39"/>
      </bottom>
    </border>
    <border>
      <left style="thin">
        <color indexed="56"/>
      </left>
      <right style="thin">
        <color indexed="56"/>
      </right>
      <top style="thin">
        <color indexed="56"/>
      </top>
      <bottom style="hair"/>
    </border>
    <border>
      <left style="thin">
        <color indexed="39"/>
      </left>
      <right style="thin">
        <color indexed="39"/>
      </right>
      <top style="thin">
        <color indexed="56"/>
      </top>
      <bottom style="thin">
        <color indexed="56"/>
      </bottom>
    </border>
    <border>
      <left style="thin">
        <color indexed="39"/>
      </left>
      <right style="thin">
        <color indexed="39"/>
      </right>
      <top style="thin">
        <color indexed="56"/>
      </top>
      <bottom style="thin">
        <color indexed="39"/>
      </bottom>
    </border>
    <border>
      <left style="hair">
        <color indexed="39"/>
      </left>
      <right style="hair">
        <color indexed="39"/>
      </right>
      <top>
        <color indexed="63"/>
      </top>
      <bottom>
        <color indexed="63"/>
      </bottom>
    </border>
    <border>
      <left>
        <color indexed="63"/>
      </left>
      <right>
        <color indexed="63"/>
      </right>
      <top style="hair">
        <color indexed="12"/>
      </top>
      <bottom>
        <color indexed="63"/>
      </bottom>
    </border>
    <border>
      <left>
        <color indexed="63"/>
      </left>
      <right>
        <color indexed="63"/>
      </right>
      <top style="hair"/>
      <bottom>
        <color indexed="63"/>
      </bottom>
    </border>
    <border>
      <left style="hair"/>
      <right style="hair">
        <color indexed="39"/>
      </right>
      <top>
        <color indexed="63"/>
      </top>
      <bottom>
        <color indexed="63"/>
      </bottom>
    </border>
    <border>
      <left style="hair">
        <color indexed="56"/>
      </left>
      <right style="hair">
        <color indexed="56"/>
      </right>
      <top style="thin">
        <color indexed="56"/>
      </top>
      <bottom style="thin">
        <color indexed="56"/>
      </bottom>
    </border>
    <border>
      <left>
        <color indexed="63"/>
      </left>
      <right style="medium"/>
      <top style="hair"/>
      <bottom>
        <color indexed="63"/>
      </bottom>
    </border>
    <border>
      <left>
        <color indexed="63"/>
      </left>
      <right style="medium"/>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double"/>
      <bottom>
        <color indexed="63"/>
      </bottom>
    </border>
    <border>
      <left style="medium"/>
      <right style="thin"/>
      <top>
        <color indexed="63"/>
      </top>
      <bottom style="medium"/>
    </border>
    <border>
      <left style="hair"/>
      <right>
        <color indexed="63"/>
      </right>
      <top>
        <color indexed="63"/>
      </top>
      <bottom style="medium"/>
    </border>
    <border>
      <left>
        <color indexed="63"/>
      </left>
      <right style="medium"/>
      <top style="medium"/>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double"/>
      <bottom>
        <color indexed="63"/>
      </bottom>
    </border>
    <border>
      <left style="thin"/>
      <right>
        <color indexed="63"/>
      </right>
      <top style="thin"/>
      <bottom style="double"/>
    </border>
    <border>
      <left>
        <color indexed="63"/>
      </left>
      <right style="thin"/>
      <top style="thin"/>
      <bottom style="double"/>
    </border>
    <border>
      <left style="hair"/>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style="thin"/>
      <bottom>
        <color indexed="63"/>
      </bottom>
    </border>
    <border>
      <left>
        <color indexed="63"/>
      </left>
      <right style="hair"/>
      <top>
        <color indexed="63"/>
      </top>
      <bottom style="thin"/>
    </border>
    <border>
      <left style="medium"/>
      <right style="thin"/>
      <top style="medium"/>
      <bottom>
        <color indexed="63"/>
      </bottom>
    </border>
    <border>
      <left style="medium"/>
      <right style="hair"/>
      <top style="double"/>
      <bottom>
        <color indexed="63"/>
      </bottom>
    </border>
    <border>
      <left style="medium"/>
      <right style="thin"/>
      <top>
        <color indexed="63"/>
      </top>
      <bottom style="double"/>
    </border>
    <border>
      <left style="thin"/>
      <right style="thin"/>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style="medium"/>
      <bottom style="medium"/>
    </border>
    <border>
      <left>
        <color indexed="63"/>
      </left>
      <right style="double"/>
      <top style="medium"/>
      <bottom style="medium"/>
    </border>
    <border>
      <left>
        <color indexed="63"/>
      </left>
      <right style="double"/>
      <top style="thin"/>
      <bottom style="double"/>
    </border>
    <border>
      <left style="double"/>
      <right>
        <color indexed="63"/>
      </right>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double"/>
    </border>
    <border>
      <left>
        <color indexed="63"/>
      </left>
      <right style="medium"/>
      <top style="double"/>
      <bottom>
        <color indexed="63"/>
      </bottom>
    </border>
    <border>
      <left style="hair"/>
      <right>
        <color indexed="63"/>
      </right>
      <top style="medium"/>
      <bottom style="hair"/>
    </border>
    <border>
      <left>
        <color indexed="63"/>
      </left>
      <right style="double"/>
      <top style="medium"/>
      <bottom style="hair"/>
    </border>
    <border>
      <left style="double"/>
      <right>
        <color indexed="63"/>
      </right>
      <top style="medium"/>
      <bottom style="double"/>
    </border>
    <border>
      <left>
        <color indexed="63"/>
      </left>
      <right style="medium"/>
      <top style="medium"/>
      <bottom style="double"/>
    </border>
    <border>
      <left style="hair"/>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hair"/>
      <right>
        <color indexed="63"/>
      </right>
      <top style="thin"/>
      <bottom style="hair"/>
    </border>
    <border>
      <left>
        <color indexed="63"/>
      </left>
      <right style="medium"/>
      <top style="thin"/>
      <bottom style="hair"/>
    </border>
    <border>
      <left style="hair"/>
      <right>
        <color indexed="63"/>
      </right>
      <top style="medium"/>
      <bottom style="double"/>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9">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1" fillId="3" borderId="0" applyNumberFormat="0" applyBorder="0" applyAlignment="0" applyProtection="0"/>
    <xf numFmtId="0" fontId="221" fillId="4" borderId="0" applyNumberFormat="0" applyBorder="0" applyAlignment="0" applyProtection="0"/>
    <xf numFmtId="0" fontId="221" fillId="5" borderId="0" applyNumberFormat="0" applyBorder="0" applyAlignment="0" applyProtection="0"/>
    <xf numFmtId="0" fontId="221" fillId="6" borderId="0" applyNumberFormat="0" applyBorder="0" applyAlignment="0" applyProtection="0"/>
    <xf numFmtId="0" fontId="221" fillId="7" borderId="0" applyNumberFormat="0" applyBorder="0" applyAlignment="0" applyProtection="0"/>
    <xf numFmtId="0" fontId="221" fillId="8" borderId="0" applyNumberFormat="0" applyBorder="0" applyAlignment="0" applyProtection="0"/>
    <xf numFmtId="0" fontId="221" fillId="9" borderId="0" applyNumberFormat="0" applyBorder="0" applyAlignment="0" applyProtection="0"/>
    <xf numFmtId="0" fontId="221" fillId="10" borderId="0" applyNumberFormat="0" applyBorder="0" applyAlignment="0" applyProtection="0"/>
    <xf numFmtId="0" fontId="221" fillId="11" borderId="0" applyNumberFormat="0" applyBorder="0" applyAlignment="0" applyProtection="0"/>
    <xf numFmtId="0" fontId="221" fillId="12" borderId="0" applyNumberFormat="0" applyBorder="0" applyAlignment="0" applyProtection="0"/>
    <xf numFmtId="0" fontId="221" fillId="13" borderId="0" applyNumberFormat="0" applyBorder="0" applyAlignment="0" applyProtection="0"/>
    <xf numFmtId="0" fontId="221" fillId="14" borderId="0" applyNumberFormat="0" applyBorder="0" applyAlignment="0" applyProtection="0"/>
    <xf numFmtId="0" fontId="222" fillId="15" borderId="0" applyNumberFormat="0" applyBorder="0" applyAlignment="0" applyProtection="0"/>
    <xf numFmtId="0" fontId="222" fillId="16" borderId="0" applyNumberFormat="0" applyBorder="0" applyAlignment="0" applyProtection="0"/>
    <xf numFmtId="0" fontId="222" fillId="17" borderId="0" applyNumberFormat="0" applyBorder="0" applyAlignment="0" applyProtection="0"/>
    <xf numFmtId="0" fontId="222" fillId="18" borderId="0" applyNumberFormat="0" applyBorder="0" applyAlignment="0" applyProtection="0"/>
    <xf numFmtId="0" fontId="222" fillId="19" borderId="0" applyNumberFormat="0" applyBorder="0" applyAlignment="0" applyProtection="0"/>
    <xf numFmtId="0" fontId="222" fillId="20" borderId="0" applyNumberFormat="0" applyBorder="0" applyAlignment="0" applyProtection="0"/>
    <xf numFmtId="0" fontId="222" fillId="21" borderId="0" applyNumberFormat="0" applyBorder="0" applyAlignment="0" applyProtection="0"/>
    <xf numFmtId="0" fontId="222" fillId="22" borderId="0" applyNumberFormat="0" applyBorder="0" applyAlignment="0" applyProtection="0"/>
    <xf numFmtId="0" fontId="222" fillId="23" borderId="0" applyNumberFormat="0" applyBorder="0" applyAlignment="0" applyProtection="0"/>
    <xf numFmtId="0" fontId="222" fillId="24" borderId="0" applyNumberFormat="0" applyBorder="0" applyAlignment="0" applyProtection="0"/>
    <xf numFmtId="0" fontId="222" fillId="25" borderId="0" applyNumberFormat="0" applyBorder="0" applyAlignment="0" applyProtection="0"/>
    <xf numFmtId="0" fontId="222" fillId="26" borderId="0" applyNumberFormat="0" applyBorder="0" applyAlignment="0" applyProtection="0"/>
    <xf numFmtId="0" fontId="223" fillId="27" borderId="0" applyNumberFormat="0" applyBorder="0" applyAlignment="0" applyProtection="0"/>
    <xf numFmtId="0" fontId="224" fillId="28" borderId="1" applyNumberFormat="0" applyAlignment="0" applyProtection="0"/>
    <xf numFmtId="0" fontId="225" fillId="29"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6" fillId="0" borderId="0" applyNumberFormat="0" applyFill="0" applyBorder="0" applyAlignment="0" applyProtection="0"/>
    <xf numFmtId="0" fontId="36" fillId="0" borderId="0" applyNumberFormat="0" applyFill="0" applyBorder="0" applyAlignment="0" applyProtection="0"/>
    <xf numFmtId="0" fontId="227" fillId="30" borderId="0" applyNumberFormat="0" applyBorder="0" applyAlignment="0" applyProtection="0"/>
    <xf numFmtId="0" fontId="228" fillId="0" borderId="3" applyNumberFormat="0" applyFill="0" applyAlignment="0" applyProtection="0"/>
    <xf numFmtId="0" fontId="229" fillId="0" borderId="4" applyNumberFormat="0" applyFill="0" applyAlignment="0" applyProtection="0"/>
    <xf numFmtId="0" fontId="230" fillId="0" borderId="5" applyNumberFormat="0" applyFill="0" applyAlignment="0" applyProtection="0"/>
    <xf numFmtId="0" fontId="230" fillId="0" borderId="0" applyNumberFormat="0" applyFill="0" applyBorder="0" applyAlignment="0" applyProtection="0"/>
    <xf numFmtId="0" fontId="35" fillId="0" borderId="0" applyNumberFormat="0" applyFill="0" applyBorder="0" applyAlignment="0" applyProtection="0"/>
    <xf numFmtId="0" fontId="231" fillId="31" borderId="1" applyNumberFormat="0" applyAlignment="0" applyProtection="0"/>
    <xf numFmtId="0" fontId="232" fillId="0" borderId="6" applyNumberFormat="0" applyFill="0" applyAlignment="0" applyProtection="0"/>
    <xf numFmtId="0" fontId="233" fillId="32" borderId="0" applyNumberFormat="0" applyBorder="0" applyAlignment="0" applyProtection="0"/>
    <xf numFmtId="0" fontId="44" fillId="0" borderId="0">
      <alignment/>
      <protection/>
    </xf>
    <xf numFmtId="0" fontId="7" fillId="0" borderId="0">
      <alignment/>
      <protection/>
    </xf>
    <xf numFmtId="0" fontId="7" fillId="0" borderId="0">
      <alignment/>
      <protection/>
    </xf>
    <xf numFmtId="0" fontId="76" fillId="0" borderId="0">
      <alignment/>
      <protection/>
    </xf>
    <xf numFmtId="0" fontId="7" fillId="0" borderId="0">
      <alignment/>
      <protection/>
    </xf>
    <xf numFmtId="0" fontId="7" fillId="0" borderId="0">
      <alignment/>
      <protection/>
    </xf>
    <xf numFmtId="0" fontId="0" fillId="33" borderId="7" applyNumberFormat="0" applyFont="0" applyAlignment="0" applyProtection="0"/>
    <xf numFmtId="0" fontId="234" fillId="28" borderId="8" applyNumberFormat="0" applyAlignment="0" applyProtection="0"/>
    <xf numFmtId="9" fontId="0" fillId="0" borderId="0" applyFont="0" applyFill="0" applyBorder="0" applyAlignment="0" applyProtection="0"/>
    <xf numFmtId="0" fontId="235" fillId="0" borderId="0" applyNumberFormat="0" applyFill="0" applyBorder="0" applyAlignment="0" applyProtection="0"/>
    <xf numFmtId="0" fontId="236" fillId="0" borderId="9" applyNumberFormat="0" applyFill="0" applyAlignment="0" applyProtection="0"/>
    <xf numFmtId="0" fontId="237" fillId="0" borderId="0" applyNumberFormat="0" applyFill="0" applyBorder="0" applyAlignment="0" applyProtection="0"/>
  </cellStyleXfs>
  <cellXfs count="1433">
    <xf numFmtId="0" fontId="0" fillId="2" borderId="0" xfId="0" applyAlignment="1">
      <alignment/>
    </xf>
    <xf numFmtId="0" fontId="0" fillId="34" borderId="0" xfId="0" applyFill="1" applyAlignment="1">
      <alignment/>
    </xf>
    <xf numFmtId="0" fontId="76" fillId="0" borderId="0" xfId="60">
      <alignment/>
      <protection/>
    </xf>
    <xf numFmtId="2" fontId="33" fillId="35" borderId="10"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2" fontId="32" fillId="35" borderId="10" xfId="0" applyNumberFormat="1" applyFont="1" applyFill="1" applyBorder="1" applyAlignment="1" applyProtection="1">
      <alignment horizontal="center" vertical="center"/>
      <protection locked="0"/>
    </xf>
    <xf numFmtId="0" fontId="4" fillId="36" borderId="0" xfId="0" applyFont="1" applyFill="1" applyAlignment="1">
      <alignment horizontal="center"/>
    </xf>
    <xf numFmtId="2" fontId="4" fillId="36" borderId="0" xfId="0" applyNumberFormat="1" applyFont="1" applyFill="1" applyAlignment="1">
      <alignment horizontal="center"/>
    </xf>
    <xf numFmtId="0" fontId="4" fillId="36" borderId="0" xfId="0" applyFont="1" applyFill="1" applyBorder="1" applyAlignment="1">
      <alignment horizontal="center"/>
    </xf>
    <xf numFmtId="0" fontId="4" fillId="36" borderId="0" xfId="0" applyFont="1" applyFill="1" applyBorder="1" applyAlignment="1">
      <alignment/>
    </xf>
    <xf numFmtId="0" fontId="4" fillId="36" borderId="0" xfId="0" applyFont="1" applyFill="1" applyAlignment="1">
      <alignment/>
    </xf>
    <xf numFmtId="0" fontId="0" fillId="36" borderId="0" xfId="0" applyFill="1" applyAlignment="1">
      <alignment/>
    </xf>
    <xf numFmtId="0" fontId="0" fillId="36" borderId="0" xfId="0" applyFill="1" applyBorder="1" applyAlignment="1">
      <alignment/>
    </xf>
    <xf numFmtId="0" fontId="5" fillId="36" borderId="0" xfId="0" applyFont="1" applyFill="1" applyAlignment="1">
      <alignment/>
    </xf>
    <xf numFmtId="2" fontId="4" fillId="36" borderId="0" xfId="0" applyNumberFormat="1" applyFont="1" applyFill="1" applyAlignment="1">
      <alignment/>
    </xf>
    <xf numFmtId="0" fontId="4" fillId="36" borderId="0" xfId="0" applyFont="1" applyFill="1" applyAlignment="1" applyProtection="1">
      <alignment horizontal="left"/>
      <protection locked="0"/>
    </xf>
    <xf numFmtId="0" fontId="0" fillId="36" borderId="0" xfId="0" applyFill="1" applyAlignment="1">
      <alignment horizontal="righ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0" xfId="0" applyFill="1" applyAlignment="1">
      <alignment horizontal="right" vertical="top"/>
    </xf>
    <xf numFmtId="0" fontId="0" fillId="36" borderId="14" xfId="0" applyFill="1" applyBorder="1" applyAlignment="1">
      <alignment horizontal="right"/>
    </xf>
    <xf numFmtId="0" fontId="0" fillId="36" borderId="14" xfId="0" applyFill="1" applyBorder="1" applyAlignment="1">
      <alignment horizontal="left"/>
    </xf>
    <xf numFmtId="0" fontId="0" fillId="36" borderId="15" xfId="0" applyFill="1" applyBorder="1" applyAlignment="1">
      <alignment horizontal="right"/>
    </xf>
    <xf numFmtId="1" fontId="0" fillId="36" borderId="0" xfId="0" applyNumberFormat="1" applyFill="1" applyAlignment="1">
      <alignment/>
    </xf>
    <xf numFmtId="165" fontId="0" fillId="36" borderId="0" xfId="0" applyNumberFormat="1" applyFill="1" applyAlignment="1">
      <alignment/>
    </xf>
    <xf numFmtId="0" fontId="4" fillId="36" borderId="16" xfId="0" applyFont="1" applyFill="1" applyBorder="1" applyAlignment="1">
      <alignment/>
    </xf>
    <xf numFmtId="0" fontId="0" fillId="36" borderId="17" xfId="0" applyFill="1" applyBorder="1" applyAlignment="1">
      <alignment/>
    </xf>
    <xf numFmtId="0" fontId="0" fillId="36" borderId="17" xfId="0" applyFill="1" applyBorder="1" applyAlignment="1">
      <alignment horizontal="right"/>
    </xf>
    <xf numFmtId="2" fontId="4" fillId="36" borderId="17" xfId="0" applyNumberFormat="1" applyFont="1" applyFill="1" applyBorder="1" applyAlignment="1">
      <alignment/>
    </xf>
    <xf numFmtId="2" fontId="4" fillId="36" borderId="17" xfId="0" applyNumberFormat="1" applyFont="1" applyFill="1" applyBorder="1" applyAlignment="1">
      <alignment horizontal="center"/>
    </xf>
    <xf numFmtId="0" fontId="4" fillId="36" borderId="18" xfId="0" applyFont="1" applyFill="1" applyBorder="1" applyAlignment="1">
      <alignment/>
    </xf>
    <xf numFmtId="0" fontId="37" fillId="36" borderId="19" xfId="0" applyFont="1" applyFill="1" applyBorder="1" applyAlignment="1">
      <alignment horizontal="center"/>
    </xf>
    <xf numFmtId="1" fontId="37" fillId="36" borderId="19" xfId="0" applyNumberFormat="1" applyFont="1" applyFill="1" applyBorder="1" applyAlignment="1">
      <alignment horizontal="center"/>
    </xf>
    <xf numFmtId="0" fontId="5" fillId="36" borderId="18" xfId="0" applyFont="1" applyFill="1" applyBorder="1" applyAlignment="1">
      <alignment/>
    </xf>
    <xf numFmtId="2" fontId="4" fillId="36" borderId="0" xfId="0" applyNumberFormat="1" applyFont="1" applyFill="1" applyBorder="1" applyAlignment="1">
      <alignment horizontal="center"/>
    </xf>
    <xf numFmtId="0" fontId="5" fillId="36" borderId="18" xfId="0" applyFont="1" applyFill="1" applyBorder="1" applyAlignment="1">
      <alignment horizontal="right"/>
    </xf>
    <xf numFmtId="2" fontId="5" fillId="36" borderId="0" xfId="0" applyNumberFormat="1" applyFont="1" applyFill="1" applyBorder="1" applyAlignment="1">
      <alignment horizontal="center"/>
    </xf>
    <xf numFmtId="0" fontId="4" fillId="36" borderId="18" xfId="0" applyFont="1" applyFill="1" applyBorder="1" applyAlignment="1">
      <alignment horizontal="right"/>
    </xf>
    <xf numFmtId="173" fontId="4" fillId="36" borderId="0" xfId="0" applyNumberFormat="1" applyFont="1" applyFill="1" applyBorder="1" applyAlignment="1">
      <alignment horizontal="center"/>
    </xf>
    <xf numFmtId="175" fontId="4" fillId="36" borderId="18" xfId="0" applyNumberFormat="1" applyFont="1" applyFill="1" applyBorder="1" applyAlignment="1">
      <alignment/>
    </xf>
    <xf numFmtId="175" fontId="4" fillId="36" borderId="20" xfId="0" applyNumberFormat="1" applyFont="1" applyFill="1" applyBorder="1" applyAlignment="1">
      <alignment horizontal="center"/>
    </xf>
    <xf numFmtId="175" fontId="0" fillId="36" borderId="0" xfId="0" applyNumberFormat="1" applyFill="1" applyBorder="1" applyAlignment="1">
      <alignment/>
    </xf>
    <xf numFmtId="175" fontId="0" fillId="36" borderId="0" xfId="0" applyNumberFormat="1" applyFill="1" applyAlignment="1">
      <alignment/>
    </xf>
    <xf numFmtId="175" fontId="4" fillId="36" borderId="0" xfId="0" applyNumberFormat="1" applyFont="1" applyFill="1" applyBorder="1" applyAlignment="1">
      <alignment horizontal="center"/>
    </xf>
    <xf numFmtId="0" fontId="4" fillId="36" borderId="21" xfId="0" applyFont="1" applyFill="1" applyBorder="1" applyAlignment="1">
      <alignment/>
    </xf>
    <xf numFmtId="2" fontId="4" fillId="36" borderId="22" xfId="0" applyNumberFormat="1" applyFont="1" applyFill="1" applyBorder="1" applyAlignment="1">
      <alignment/>
    </xf>
    <xf numFmtId="2" fontId="4" fillId="36" borderId="22" xfId="0" applyNumberFormat="1" applyFont="1" applyFill="1" applyBorder="1" applyAlignment="1">
      <alignment horizontal="center"/>
    </xf>
    <xf numFmtId="2" fontId="5" fillId="36" borderId="22" xfId="0" applyNumberFormat="1" applyFont="1" applyFill="1" applyBorder="1" applyAlignment="1">
      <alignment horizontal="center"/>
    </xf>
    <xf numFmtId="2" fontId="4" fillId="36" borderId="0" xfId="0" applyNumberFormat="1" applyFont="1" applyFill="1" applyBorder="1" applyAlignment="1">
      <alignment horizontal="right"/>
    </xf>
    <xf numFmtId="165" fontId="4" fillId="36" borderId="0" xfId="0" applyNumberFormat="1" applyFont="1" applyFill="1" applyBorder="1" applyAlignment="1">
      <alignment horizontal="center"/>
    </xf>
    <xf numFmtId="2" fontId="4" fillId="36" borderId="18" xfId="0" applyNumberFormat="1" applyFont="1" applyFill="1" applyBorder="1" applyAlignment="1">
      <alignment horizontal="right"/>
    </xf>
    <xf numFmtId="2" fontId="4" fillId="36" borderId="18" xfId="0" applyNumberFormat="1" applyFont="1" applyFill="1" applyBorder="1" applyAlignment="1">
      <alignment/>
    </xf>
    <xf numFmtId="175" fontId="4" fillId="36" borderId="23" xfId="0" applyNumberFormat="1" applyFont="1" applyFill="1" applyBorder="1" applyAlignment="1">
      <alignment horizontal="center"/>
    </xf>
    <xf numFmtId="175" fontId="4" fillId="36" borderId="0" xfId="0" applyNumberFormat="1" applyFont="1" applyFill="1" applyBorder="1" applyAlignment="1">
      <alignment/>
    </xf>
    <xf numFmtId="175" fontId="4" fillId="36" borderId="0" xfId="0" applyNumberFormat="1" applyFont="1" applyFill="1" applyAlignment="1">
      <alignment/>
    </xf>
    <xf numFmtId="2" fontId="4" fillId="36" borderId="21" xfId="0" applyNumberFormat="1" applyFont="1" applyFill="1" applyBorder="1" applyAlignment="1">
      <alignment/>
    </xf>
    <xf numFmtId="2" fontId="0" fillId="36" borderId="0" xfId="0" applyNumberFormat="1" applyFill="1" applyAlignment="1">
      <alignment/>
    </xf>
    <xf numFmtId="173" fontId="0" fillId="36" borderId="0" xfId="0" applyNumberFormat="1" applyFill="1" applyAlignment="1">
      <alignment/>
    </xf>
    <xf numFmtId="2" fontId="5" fillId="36" borderId="0" xfId="0" applyNumberFormat="1" applyFont="1" applyFill="1" applyAlignment="1">
      <alignment/>
    </xf>
    <xf numFmtId="2" fontId="0" fillId="36" borderId="0" xfId="0" applyNumberFormat="1" applyFill="1" applyAlignment="1">
      <alignment horizontal="center"/>
    </xf>
    <xf numFmtId="0" fontId="0" fillId="36" borderId="0" xfId="0" applyFill="1" applyAlignment="1">
      <alignment horizontal="center"/>
    </xf>
    <xf numFmtId="175" fontId="4" fillId="36" borderId="24" xfId="0" applyNumberFormat="1" applyFont="1" applyFill="1" applyBorder="1" applyAlignment="1">
      <alignment horizontal="center"/>
    </xf>
    <xf numFmtId="175" fontId="4" fillId="36" borderId="25" xfId="0" applyNumberFormat="1" applyFont="1" applyFill="1" applyBorder="1" applyAlignment="1">
      <alignment horizontal="center"/>
    </xf>
    <xf numFmtId="0" fontId="4" fillId="36" borderId="17" xfId="0" applyFont="1" applyFill="1" applyBorder="1" applyAlignment="1">
      <alignment/>
    </xf>
    <xf numFmtId="2" fontId="4" fillId="36" borderId="26" xfId="0" applyNumberFormat="1" applyFont="1" applyFill="1" applyBorder="1" applyAlignment="1">
      <alignment horizontal="center"/>
    </xf>
    <xf numFmtId="2" fontId="4" fillId="36" borderId="27" xfId="0" applyNumberFormat="1" applyFont="1" applyFill="1" applyBorder="1" applyAlignment="1">
      <alignment horizontal="center"/>
    </xf>
    <xf numFmtId="166" fontId="4" fillId="36" borderId="0" xfId="0" applyNumberFormat="1" applyFont="1" applyFill="1" applyBorder="1" applyAlignment="1">
      <alignment horizontal="center"/>
    </xf>
    <xf numFmtId="166" fontId="4" fillId="36" borderId="27" xfId="0" applyNumberFormat="1" applyFont="1" applyFill="1" applyBorder="1" applyAlignment="1">
      <alignment horizontal="center"/>
    </xf>
    <xf numFmtId="11" fontId="4" fillId="36" borderId="0" xfId="0" applyNumberFormat="1" applyFont="1" applyFill="1" applyBorder="1" applyAlignment="1">
      <alignment horizontal="center"/>
    </xf>
    <xf numFmtId="0" fontId="5" fillId="36" borderId="0" xfId="0" applyFont="1" applyFill="1" applyBorder="1" applyAlignment="1">
      <alignment/>
    </xf>
    <xf numFmtId="0" fontId="37" fillId="36" borderId="19" xfId="0" applyFont="1" applyFill="1" applyBorder="1" applyAlignment="1">
      <alignment/>
    </xf>
    <xf numFmtId="177" fontId="80" fillId="36" borderId="19" xfId="0" applyNumberFormat="1" applyFont="1" applyFill="1" applyBorder="1" applyAlignment="1">
      <alignment horizontal="center"/>
    </xf>
    <xf numFmtId="2" fontId="37" fillId="36" borderId="19" xfId="0" applyNumberFormat="1" applyFont="1" applyFill="1" applyBorder="1" applyAlignment="1">
      <alignment horizontal="center"/>
    </xf>
    <xf numFmtId="176" fontId="37" fillId="36" borderId="19" xfId="0" applyNumberFormat="1" applyFont="1" applyFill="1" applyBorder="1" applyAlignment="1">
      <alignment horizontal="center"/>
    </xf>
    <xf numFmtId="177" fontId="80" fillId="36" borderId="0" xfId="0" applyNumberFormat="1" applyFont="1" applyFill="1" applyBorder="1" applyAlignment="1">
      <alignment horizontal="center"/>
    </xf>
    <xf numFmtId="0" fontId="4" fillId="36" borderId="19" xfId="0" applyFont="1" applyFill="1" applyBorder="1" applyAlignment="1">
      <alignment/>
    </xf>
    <xf numFmtId="0" fontId="4" fillId="36" borderId="19" xfId="0" applyFont="1" applyFill="1" applyBorder="1" applyAlignment="1">
      <alignment horizontal="center"/>
    </xf>
    <xf numFmtId="177" fontId="37" fillId="36" borderId="0" xfId="0" applyNumberFormat="1" applyFont="1" applyFill="1" applyBorder="1" applyAlignment="1">
      <alignment horizontal="center"/>
    </xf>
    <xf numFmtId="177" fontId="37" fillId="36" borderId="0" xfId="0" applyNumberFormat="1" applyFont="1" applyFill="1" applyAlignment="1">
      <alignment horizontal="center"/>
    </xf>
    <xf numFmtId="0" fontId="74" fillId="36" borderId="0" xfId="0" applyFont="1" applyFill="1" applyBorder="1" applyAlignment="1">
      <alignment/>
    </xf>
    <xf numFmtId="2" fontId="4" fillId="36" borderId="19" xfId="0" applyNumberFormat="1" applyFont="1" applyFill="1" applyBorder="1" applyAlignment="1">
      <alignment horizontal="center"/>
    </xf>
    <xf numFmtId="166" fontId="4" fillId="36" borderId="19" xfId="0" applyNumberFormat="1" applyFont="1" applyFill="1" applyBorder="1" applyAlignment="1">
      <alignment horizontal="center"/>
    </xf>
    <xf numFmtId="0" fontId="24" fillId="36" borderId="19" xfId="0" applyFont="1" applyFill="1" applyBorder="1" applyAlignment="1">
      <alignment horizontal="right"/>
    </xf>
    <xf numFmtId="0" fontId="26" fillId="36" borderId="19" xfId="0" applyFont="1" applyFill="1" applyBorder="1" applyAlignment="1">
      <alignment horizontal="right"/>
    </xf>
    <xf numFmtId="0" fontId="28" fillId="36" borderId="19" xfId="0" applyFont="1" applyFill="1" applyBorder="1" applyAlignment="1">
      <alignment horizontal="right"/>
    </xf>
    <xf numFmtId="0" fontId="9" fillId="36" borderId="19" xfId="0" applyFont="1" applyFill="1" applyBorder="1" applyAlignment="1">
      <alignment horizontal="right"/>
    </xf>
    <xf numFmtId="0" fontId="0" fillId="36" borderId="0" xfId="0" applyFill="1" applyAlignment="1">
      <alignment vertical="center"/>
    </xf>
    <xf numFmtId="0" fontId="4" fillId="36" borderId="0" xfId="0" applyFont="1" applyFill="1" applyAlignment="1">
      <alignment vertical="center"/>
    </xf>
    <xf numFmtId="0" fontId="51" fillId="0" borderId="28" xfId="59" applyFont="1" applyFill="1" applyBorder="1" applyAlignment="1" applyProtection="1">
      <alignment horizontal="center"/>
      <protection/>
    </xf>
    <xf numFmtId="0" fontId="44" fillId="0" borderId="29" xfId="59" applyNumberFormat="1" applyFont="1" applyFill="1" applyBorder="1" applyAlignment="1">
      <alignment horizontal="center" wrapText="1"/>
      <protection/>
    </xf>
    <xf numFmtId="0" fontId="44" fillId="0" borderId="30" xfId="59" applyNumberFormat="1" applyFont="1" applyFill="1" applyBorder="1" applyAlignment="1">
      <alignment horizontal="center" wrapText="1"/>
      <protection/>
    </xf>
    <xf numFmtId="0" fontId="44" fillId="0" borderId="31" xfId="59" applyNumberFormat="1" applyFont="1" applyFill="1" applyBorder="1" applyAlignment="1">
      <alignment horizontal="center" wrapText="1"/>
      <protection/>
    </xf>
    <xf numFmtId="0" fontId="44" fillId="0" borderId="32" xfId="59" applyNumberFormat="1" applyFont="1" applyFill="1" applyBorder="1" applyAlignment="1">
      <alignment horizontal="center" wrapText="1"/>
      <protection/>
    </xf>
    <xf numFmtId="0" fontId="44" fillId="0" borderId="14" xfId="59" applyNumberFormat="1" applyFont="1" applyFill="1" applyBorder="1" applyAlignment="1">
      <alignment horizontal="center" wrapText="1"/>
      <protection/>
    </xf>
    <xf numFmtId="0" fontId="44" fillId="0" borderId="33" xfId="59" applyNumberFormat="1" applyFont="1" applyFill="1" applyBorder="1" applyAlignment="1">
      <alignment horizontal="center" wrapText="1"/>
      <protection/>
    </xf>
    <xf numFmtId="0" fontId="44" fillId="0" borderId="34" xfId="59" applyNumberFormat="1" applyFont="1" applyFill="1" applyBorder="1" applyAlignment="1">
      <alignment horizontal="center" wrapText="1"/>
      <protection/>
    </xf>
    <xf numFmtId="0" fontId="44" fillId="0" borderId="35" xfId="59" applyNumberFormat="1" applyFont="1" applyFill="1" applyBorder="1" applyAlignment="1">
      <alignment horizontal="center" wrapText="1"/>
      <protection/>
    </xf>
    <xf numFmtId="0" fontId="44" fillId="0" borderId="36" xfId="59" applyNumberFormat="1" applyFont="1" applyFill="1" applyBorder="1" applyAlignment="1">
      <alignment horizontal="center" wrapText="1"/>
      <protection/>
    </xf>
    <xf numFmtId="0" fontId="44" fillId="0" borderId="37" xfId="62" applyFont="1" applyFill="1" applyBorder="1" applyAlignment="1" applyProtection="1">
      <alignment horizontal="center"/>
      <protection locked="0"/>
    </xf>
    <xf numFmtId="0" fontId="44" fillId="0" borderId="38" xfId="62" applyFont="1" applyFill="1" applyBorder="1" applyAlignment="1" applyProtection="1">
      <alignment horizontal="center"/>
      <protection locked="0"/>
    </xf>
    <xf numFmtId="0" fontId="7" fillId="0" borderId="0" xfId="0" applyFont="1" applyFill="1" applyAlignment="1" applyProtection="1">
      <alignment vertical="center"/>
      <protection locked="0"/>
    </xf>
    <xf numFmtId="0" fontId="44" fillId="0" borderId="0" xfId="62" applyFont="1" applyFill="1" applyBorder="1" applyAlignment="1" applyProtection="1">
      <alignment horizontal="center"/>
      <protection locked="0"/>
    </xf>
    <xf numFmtId="0" fontId="44" fillId="0" borderId="0" xfId="62" applyFont="1" applyFill="1">
      <alignment/>
      <protection/>
    </xf>
    <xf numFmtId="0" fontId="85" fillId="0" borderId="39" xfId="62" applyFont="1" applyFill="1" applyBorder="1" applyProtection="1">
      <alignment/>
      <protection/>
    </xf>
    <xf numFmtId="0" fontId="85" fillId="0" borderId="40" xfId="62" applyFont="1" applyFill="1" applyBorder="1" applyProtection="1">
      <alignment/>
      <protection/>
    </xf>
    <xf numFmtId="0" fontId="44" fillId="0" borderId="40" xfId="62" applyFont="1" applyFill="1" applyBorder="1">
      <alignment/>
      <protection/>
    </xf>
    <xf numFmtId="0" fontId="85" fillId="0" borderId="0" xfId="62" applyFont="1" applyFill="1" applyProtection="1">
      <alignment/>
      <protection/>
    </xf>
    <xf numFmtId="0" fontId="85" fillId="0" borderId="0" xfId="62" applyFont="1" applyFill="1" applyBorder="1" applyProtection="1">
      <alignment/>
      <protection/>
    </xf>
    <xf numFmtId="0" fontId="44" fillId="0" borderId="0" xfId="62" applyFont="1" applyFill="1" applyBorder="1">
      <alignment/>
      <protection/>
    </xf>
    <xf numFmtId="0" fontId="84" fillId="0" borderId="0" xfId="62" applyFont="1" applyFill="1" applyProtection="1">
      <alignment/>
      <protection/>
    </xf>
    <xf numFmtId="0" fontId="56" fillId="0" borderId="0" xfId="62" applyFont="1" applyFill="1" applyBorder="1" applyProtection="1">
      <alignment/>
      <protection locked="0"/>
    </xf>
    <xf numFmtId="0" fontId="84" fillId="0" borderId="0" xfId="62" applyFont="1" applyFill="1" applyBorder="1" applyProtection="1">
      <alignment/>
      <protection locked="0"/>
    </xf>
    <xf numFmtId="11" fontId="84" fillId="0" borderId="0" xfId="62" applyNumberFormat="1" applyFont="1" applyFill="1" applyBorder="1" applyProtection="1">
      <alignment/>
      <protection locked="0"/>
    </xf>
    <xf numFmtId="0" fontId="84" fillId="0" borderId="0" xfId="62" applyFont="1" applyFill="1" applyBorder="1" applyProtection="1">
      <alignment/>
      <protection/>
    </xf>
    <xf numFmtId="0" fontId="44" fillId="0" borderId="0" xfId="62" applyFont="1" applyFill="1" applyBorder="1" applyProtection="1">
      <alignment/>
      <protection hidden="1"/>
    </xf>
    <xf numFmtId="11" fontId="85" fillId="0" borderId="41" xfId="62" applyNumberFormat="1" applyFont="1" applyFill="1" applyBorder="1" applyAlignment="1" applyProtection="1">
      <alignment horizontal="center"/>
      <protection/>
    </xf>
    <xf numFmtId="11" fontId="85" fillId="0" borderId="17" xfId="62" applyNumberFormat="1" applyFont="1" applyFill="1" applyBorder="1" applyAlignment="1" applyProtection="1">
      <alignment horizontal="center"/>
      <protection/>
    </xf>
    <xf numFmtId="11" fontId="44" fillId="0" borderId="17" xfId="62" applyNumberFormat="1" applyFont="1" applyFill="1" applyBorder="1" applyAlignment="1" applyProtection="1">
      <alignment horizontal="center"/>
      <protection hidden="1"/>
    </xf>
    <xf numFmtId="11" fontId="44" fillId="0" borderId="17" xfId="62" applyNumberFormat="1" applyFont="1" applyFill="1" applyBorder="1" applyAlignment="1">
      <alignment horizontal="center"/>
      <protection/>
    </xf>
    <xf numFmtId="11" fontId="44" fillId="0" borderId="26" xfId="62" applyNumberFormat="1" applyFont="1" applyFill="1" applyBorder="1" applyAlignment="1">
      <alignment horizontal="center"/>
      <protection/>
    </xf>
    <xf numFmtId="11" fontId="44" fillId="0" borderId="0" xfId="62" applyNumberFormat="1" applyFont="1" applyFill="1" applyBorder="1" applyAlignment="1">
      <alignment horizontal="center"/>
      <protection/>
    </xf>
    <xf numFmtId="11" fontId="44" fillId="0" borderId="18" xfId="62" applyNumberFormat="1" applyFont="1" applyFill="1" applyBorder="1" applyAlignment="1">
      <alignment horizontal="center"/>
      <protection/>
    </xf>
    <xf numFmtId="11" fontId="85" fillId="0" borderId="42" xfId="62" applyNumberFormat="1" applyFont="1" applyFill="1" applyBorder="1" applyAlignment="1" applyProtection="1">
      <alignment horizontal="center"/>
      <protection/>
    </xf>
    <xf numFmtId="11" fontId="85" fillId="0" borderId="43" xfId="62" applyNumberFormat="1" applyFont="1" applyFill="1" applyBorder="1" applyAlignment="1" applyProtection="1">
      <alignment horizontal="center"/>
      <protection/>
    </xf>
    <xf numFmtId="11" fontId="44" fillId="0" borderId="0" xfId="62" applyNumberFormat="1" applyFont="1" applyFill="1" applyAlignment="1">
      <alignment horizontal="center"/>
      <protection/>
    </xf>
    <xf numFmtId="11" fontId="85" fillId="0" borderId="44" xfId="62" applyNumberFormat="1" applyFont="1" applyFill="1" applyBorder="1" applyAlignment="1" applyProtection="1">
      <alignment horizontal="center"/>
      <protection/>
    </xf>
    <xf numFmtId="11" fontId="85" fillId="0" borderId="0" xfId="62" applyNumberFormat="1" applyFont="1" applyFill="1" applyBorder="1" applyAlignment="1" applyProtection="1">
      <alignment horizontal="center"/>
      <protection/>
    </xf>
    <xf numFmtId="11" fontId="85" fillId="0" borderId="45" xfId="62" applyNumberFormat="1" applyFont="1" applyFill="1" applyBorder="1" applyAlignment="1" applyProtection="1">
      <alignment horizontal="center"/>
      <protection/>
    </xf>
    <xf numFmtId="11" fontId="85" fillId="0" borderId="46" xfId="62" applyNumberFormat="1" applyFont="1" applyFill="1" applyBorder="1" applyAlignment="1" applyProtection="1">
      <alignment horizontal="center"/>
      <protection/>
    </xf>
    <xf numFmtId="11" fontId="85" fillId="0" borderId="22" xfId="62" applyNumberFormat="1" applyFont="1" applyFill="1" applyBorder="1" applyAlignment="1" applyProtection="1">
      <alignment horizontal="center"/>
      <protection/>
    </xf>
    <xf numFmtId="0" fontId="44" fillId="0" borderId="0" xfId="62" applyFont="1" applyFill="1" applyAlignment="1">
      <alignment horizontal="center"/>
      <protection/>
    </xf>
    <xf numFmtId="0" fontId="44" fillId="0" borderId="0" xfId="62" applyFont="1" applyFill="1" applyProtection="1">
      <alignment/>
      <protection/>
    </xf>
    <xf numFmtId="0" fontId="44" fillId="0" borderId="0" xfId="62" applyFont="1" applyFill="1" applyProtection="1">
      <alignment/>
      <protection hidden="1"/>
    </xf>
    <xf numFmtId="0" fontId="85" fillId="0" borderId="47" xfId="62" applyFont="1" applyFill="1" applyBorder="1" applyProtection="1">
      <alignment/>
      <protection/>
    </xf>
    <xf numFmtId="0" fontId="85" fillId="0" borderId="48" xfId="62" applyFont="1" applyFill="1" applyBorder="1" applyProtection="1">
      <alignment/>
      <protection/>
    </xf>
    <xf numFmtId="0" fontId="44" fillId="0" borderId="48" xfId="62" applyFont="1" applyFill="1" applyBorder="1">
      <alignment/>
      <protection/>
    </xf>
    <xf numFmtId="175" fontId="85" fillId="0" borderId="0" xfId="62" applyNumberFormat="1" applyFont="1" applyFill="1" applyBorder="1" applyAlignment="1">
      <alignment/>
      <protection/>
    </xf>
    <xf numFmtId="11" fontId="44" fillId="0" borderId="18" xfId="62" applyNumberFormat="1" applyFont="1" applyFill="1" applyBorder="1">
      <alignment/>
      <protection/>
    </xf>
    <xf numFmtId="11" fontId="44" fillId="0" borderId="0" xfId="62" applyNumberFormat="1" applyFont="1" applyFill="1" applyBorder="1">
      <alignment/>
      <protection/>
    </xf>
    <xf numFmtId="11" fontId="44" fillId="0" borderId="27" xfId="62" applyNumberFormat="1" applyFont="1" applyFill="1" applyBorder="1">
      <alignment/>
      <protection/>
    </xf>
    <xf numFmtId="0" fontId="44" fillId="0" borderId="18" xfId="62" applyFont="1" applyFill="1" applyBorder="1">
      <alignment/>
      <protection/>
    </xf>
    <xf numFmtId="0" fontId="44" fillId="0" borderId="27" xfId="62" applyFont="1" applyFill="1" applyBorder="1">
      <alignment/>
      <protection/>
    </xf>
    <xf numFmtId="175" fontId="85" fillId="0" borderId="18" xfId="62" applyNumberFormat="1" applyFont="1" applyFill="1" applyBorder="1" applyAlignment="1">
      <alignment horizontal="center"/>
      <protection/>
    </xf>
    <xf numFmtId="175" fontId="85" fillId="0" borderId="21" xfId="62" applyNumberFormat="1" applyFont="1" applyFill="1" applyBorder="1" applyAlignment="1">
      <alignment horizontal="center"/>
      <protection/>
    </xf>
    <xf numFmtId="0" fontId="85" fillId="0" borderId="0" xfId="62" applyFont="1" applyFill="1" applyBorder="1" applyAlignment="1" applyProtection="1">
      <alignment/>
      <protection/>
    </xf>
    <xf numFmtId="11" fontId="85" fillId="0" borderId="49" xfId="62" applyNumberFormat="1" applyFont="1" applyFill="1" applyBorder="1" applyAlignment="1" applyProtection="1">
      <alignment horizontal="center"/>
      <protection/>
    </xf>
    <xf numFmtId="11" fontId="85" fillId="0" borderId="50" xfId="62" applyNumberFormat="1" applyFont="1" applyFill="1" applyBorder="1" applyAlignment="1" applyProtection="1">
      <alignment horizontal="center"/>
      <protection/>
    </xf>
    <xf numFmtId="11" fontId="85" fillId="0" borderId="51" xfId="62" applyNumberFormat="1" applyFont="1" applyFill="1" applyBorder="1" applyAlignment="1" applyProtection="1">
      <alignment horizontal="center"/>
      <protection/>
    </xf>
    <xf numFmtId="0" fontId="44" fillId="0" borderId="0" xfId="62" applyFont="1" applyFill="1" applyAlignment="1">
      <alignment vertical="center"/>
      <protection/>
    </xf>
    <xf numFmtId="0" fontId="7" fillId="35" borderId="0" xfId="58" applyFont="1" applyFill="1">
      <alignment/>
      <protection/>
    </xf>
    <xf numFmtId="0" fontId="7" fillId="0" borderId="0" xfId="58" applyFont="1">
      <alignment/>
      <protection/>
    </xf>
    <xf numFmtId="0" fontId="23" fillId="37" borderId="0" xfId="58" applyFont="1" applyFill="1" applyBorder="1" applyAlignment="1">
      <alignment horizontal="center"/>
      <protection/>
    </xf>
    <xf numFmtId="0" fontId="60" fillId="37" borderId="0" xfId="58" applyFont="1" applyFill="1" applyBorder="1" applyAlignment="1">
      <alignment horizontal="center"/>
      <protection/>
    </xf>
    <xf numFmtId="0" fontId="7" fillId="37" borderId="0" xfId="58" applyFont="1" applyFill="1" applyBorder="1" applyAlignment="1">
      <alignment horizontal="center"/>
      <protection/>
    </xf>
    <xf numFmtId="0" fontId="5" fillId="37" borderId="0" xfId="58" applyFont="1" applyFill="1" applyBorder="1" applyAlignment="1">
      <alignment horizontal="center"/>
      <protection/>
    </xf>
    <xf numFmtId="0" fontId="56" fillId="37" borderId="18" xfId="58" applyFont="1" applyFill="1" applyBorder="1">
      <alignment/>
      <protection/>
    </xf>
    <xf numFmtId="0" fontId="56" fillId="37" borderId="0" xfId="58" applyFont="1" applyFill="1" applyBorder="1">
      <alignment/>
      <protection/>
    </xf>
    <xf numFmtId="0" fontId="87" fillId="37" borderId="0" xfId="58" applyFont="1" applyFill="1" applyBorder="1" applyAlignment="1">
      <alignment horizontal="center"/>
      <protection/>
    </xf>
    <xf numFmtId="0" fontId="7" fillId="37" borderId="0" xfId="58" applyFont="1" applyFill="1" applyBorder="1">
      <alignment/>
      <protection/>
    </xf>
    <xf numFmtId="0" fontId="7" fillId="37" borderId="27" xfId="58" applyFont="1" applyFill="1" applyBorder="1">
      <alignment/>
      <protection/>
    </xf>
    <xf numFmtId="0" fontId="56" fillId="37" borderId="0" xfId="58" applyFont="1" applyFill="1" applyBorder="1" applyAlignment="1">
      <alignment horizontal="left"/>
      <protection/>
    </xf>
    <xf numFmtId="0" fontId="6" fillId="37" borderId="0" xfId="58" applyFont="1" applyFill="1" applyBorder="1">
      <alignment/>
      <protection/>
    </xf>
    <xf numFmtId="0" fontId="7" fillId="37" borderId="18" xfId="58" applyFont="1" applyFill="1" applyBorder="1">
      <alignment/>
      <protection/>
    </xf>
    <xf numFmtId="0" fontId="34" fillId="37" borderId="18" xfId="58" applyFont="1" applyFill="1" applyBorder="1">
      <alignment/>
      <protection/>
    </xf>
    <xf numFmtId="0" fontId="7" fillId="37" borderId="18" xfId="58" applyFont="1" applyFill="1" applyBorder="1">
      <alignment/>
      <protection/>
    </xf>
    <xf numFmtId="186" fontId="7" fillId="37" borderId="0" xfId="58" applyNumberFormat="1" applyFont="1" applyFill="1" applyBorder="1" applyAlignment="1">
      <alignment horizontal="center"/>
      <protection/>
    </xf>
    <xf numFmtId="0" fontId="7" fillId="38" borderId="16" xfId="58" applyFont="1" applyFill="1" applyBorder="1">
      <alignment/>
      <protection/>
    </xf>
    <xf numFmtId="0" fontId="7" fillId="38" borderId="17" xfId="58" applyFont="1" applyFill="1" applyBorder="1">
      <alignment/>
      <protection/>
    </xf>
    <xf numFmtId="0" fontId="7" fillId="38" borderId="26" xfId="58" applyFont="1" applyFill="1" applyBorder="1">
      <alignment/>
      <protection/>
    </xf>
    <xf numFmtId="0" fontId="7" fillId="38" borderId="18" xfId="58" applyFont="1" applyFill="1" applyBorder="1">
      <alignment/>
      <protection/>
    </xf>
    <xf numFmtId="0" fontId="7" fillId="38" borderId="27" xfId="58" applyFont="1" applyFill="1" applyBorder="1">
      <alignment/>
      <protection/>
    </xf>
    <xf numFmtId="0" fontId="7" fillId="38" borderId="21" xfId="58" applyFont="1" applyFill="1" applyBorder="1">
      <alignment/>
      <protection/>
    </xf>
    <xf numFmtId="0" fontId="7" fillId="38" borderId="22" xfId="58" applyFont="1" applyFill="1" applyBorder="1">
      <alignment/>
      <protection/>
    </xf>
    <xf numFmtId="0" fontId="7" fillId="38" borderId="52" xfId="58" applyFont="1" applyFill="1" applyBorder="1">
      <alignment/>
      <protection/>
    </xf>
    <xf numFmtId="0" fontId="7" fillId="37" borderId="53" xfId="58" applyFont="1" applyFill="1" applyBorder="1">
      <alignment/>
      <protection/>
    </xf>
    <xf numFmtId="0" fontId="7" fillId="37" borderId="54" xfId="58" applyFont="1" applyFill="1" applyBorder="1">
      <alignment/>
      <protection/>
    </xf>
    <xf numFmtId="0" fontId="7" fillId="37" borderId="55" xfId="58" applyFont="1" applyFill="1" applyBorder="1">
      <alignment/>
      <protection/>
    </xf>
    <xf numFmtId="0" fontId="7" fillId="37" borderId="56" xfId="58" applyFont="1" applyFill="1" applyBorder="1" applyAlignment="1">
      <alignment horizontal="center"/>
      <protection/>
    </xf>
    <xf numFmtId="0" fontId="7" fillId="37" borderId="57" xfId="58" applyFont="1" applyFill="1" applyBorder="1" applyAlignment="1">
      <alignment horizontal="center"/>
      <protection/>
    </xf>
    <xf numFmtId="0" fontId="44" fillId="2" borderId="0" xfId="0" applyFont="1" applyFill="1" applyAlignment="1" applyProtection="1">
      <alignment vertical="center"/>
      <protection locked="0"/>
    </xf>
    <xf numFmtId="0" fontId="94" fillId="2" borderId="0" xfId="0" applyFont="1" applyFill="1" applyAlignment="1" applyProtection="1">
      <alignment vertical="center"/>
      <protection locked="0"/>
    </xf>
    <xf numFmtId="0" fontId="102" fillId="35" borderId="19"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58" xfId="0" applyFont="1" applyFill="1" applyBorder="1" applyAlignment="1" applyProtection="1">
      <alignment horizontal="center" vertical="center"/>
      <protection locked="0"/>
    </xf>
    <xf numFmtId="0" fontId="44" fillId="0" borderId="59" xfId="0" applyFont="1" applyFill="1" applyBorder="1" applyAlignment="1" applyProtection="1">
      <alignment horizontal="center" vertical="center"/>
      <protection locked="0"/>
    </xf>
    <xf numFmtId="0" fontId="102" fillId="35" borderId="58" xfId="0" applyFont="1" applyFill="1" applyBorder="1" applyAlignment="1" applyProtection="1">
      <alignment horizontal="center" vertical="center"/>
      <protection/>
    </xf>
    <xf numFmtId="0" fontId="102" fillId="35" borderId="59" xfId="0" applyFont="1" applyFill="1" applyBorder="1" applyAlignment="1" applyProtection="1">
      <alignment horizontal="center" vertical="center"/>
      <protection/>
    </xf>
    <xf numFmtId="0" fontId="102" fillId="35" borderId="60" xfId="0" applyFont="1" applyFill="1" applyBorder="1" applyAlignment="1" applyProtection="1">
      <alignment horizontal="center" vertical="center"/>
      <protection/>
    </xf>
    <xf numFmtId="0" fontId="102" fillId="35" borderId="61" xfId="0" applyFont="1" applyFill="1" applyBorder="1" applyAlignment="1" applyProtection="1">
      <alignment horizontal="center" vertical="center"/>
      <protection/>
    </xf>
    <xf numFmtId="0" fontId="102" fillId="35" borderId="62" xfId="0" applyFont="1" applyFill="1" applyBorder="1" applyAlignment="1" applyProtection="1">
      <alignment horizontal="center" vertical="center"/>
      <protection locked="0"/>
    </xf>
    <xf numFmtId="0" fontId="102" fillId="35" borderId="63" xfId="0" applyFont="1" applyFill="1" applyBorder="1" applyAlignment="1" applyProtection="1">
      <alignment horizontal="center" vertical="center"/>
      <protection locked="0"/>
    </xf>
    <xf numFmtId="0" fontId="44" fillId="0" borderId="10" xfId="0" applyNumberFormat="1" applyFont="1" applyFill="1" applyBorder="1" applyAlignment="1" applyProtection="1">
      <alignment horizontal="center" vertical="center"/>
      <protection locked="0"/>
    </xf>
    <xf numFmtId="0" fontId="44" fillId="36" borderId="0" xfId="0" applyFont="1" applyFill="1" applyAlignment="1" applyProtection="1">
      <alignment vertical="center"/>
      <protection locked="0"/>
    </xf>
    <xf numFmtId="0" fontId="7" fillId="36" borderId="0" xfId="0" applyFont="1" applyFill="1" applyAlignment="1" applyProtection="1">
      <alignment vertical="center"/>
      <protection locked="0"/>
    </xf>
    <xf numFmtId="0" fontId="0" fillId="36" borderId="0" xfId="0" applyFill="1" applyAlignment="1" applyProtection="1">
      <alignment vertical="center"/>
      <protection locked="0"/>
    </xf>
    <xf numFmtId="0" fontId="44" fillId="36" borderId="0" xfId="0" applyFont="1" applyFill="1" applyAlignment="1" applyProtection="1">
      <alignment horizontal="center" vertical="center"/>
      <protection locked="0"/>
    </xf>
    <xf numFmtId="0" fontId="4" fillId="36" borderId="0" xfId="0" applyFont="1" applyFill="1" applyAlignment="1" applyProtection="1">
      <alignment horizontal="center" vertical="center"/>
      <protection locked="0"/>
    </xf>
    <xf numFmtId="0" fontId="44" fillId="36" borderId="0" xfId="0" applyFont="1" applyFill="1" applyAlignment="1" applyProtection="1">
      <alignment horizontal="left" vertical="center"/>
      <protection locked="0"/>
    </xf>
    <xf numFmtId="0" fontId="56" fillId="36" borderId="0" xfId="0" applyFont="1" applyFill="1" applyBorder="1" applyAlignment="1" applyProtection="1">
      <alignment horizontal="left" vertical="center"/>
      <protection locked="0"/>
    </xf>
    <xf numFmtId="0" fontId="44" fillId="36" borderId="53" xfId="0" applyFont="1" applyFill="1" applyBorder="1" applyAlignment="1" applyProtection="1">
      <alignment horizontal="right" vertical="center"/>
      <protection locked="0"/>
    </xf>
    <xf numFmtId="0" fontId="0" fillId="36" borderId="54" xfId="0" applyFill="1" applyBorder="1" applyAlignment="1" applyProtection="1">
      <alignment horizontal="left" vertical="center"/>
      <protection locked="0"/>
    </xf>
    <xf numFmtId="0" fontId="7" fillId="36" borderId="54" xfId="0" applyFont="1" applyFill="1" applyBorder="1" applyAlignment="1" applyProtection="1">
      <alignment horizontal="center" vertical="center"/>
      <protection locked="0"/>
    </xf>
    <xf numFmtId="0" fontId="56" fillId="36" borderId="54" xfId="0" applyFont="1" applyFill="1" applyBorder="1" applyAlignment="1" applyProtection="1">
      <alignment horizontal="left" vertical="center"/>
      <protection locked="0"/>
    </xf>
    <xf numFmtId="0" fontId="44" fillId="36" borderId="54" xfId="0" applyFont="1" applyFill="1" applyBorder="1" applyAlignment="1" applyProtection="1">
      <alignment horizontal="center" vertical="center"/>
      <protection locked="0"/>
    </xf>
    <xf numFmtId="0" fontId="44" fillId="36" borderId="55" xfId="0" applyFont="1" applyFill="1" applyBorder="1" applyAlignment="1" applyProtection="1">
      <alignment horizontal="center" vertical="center"/>
      <protection locked="0"/>
    </xf>
    <xf numFmtId="0" fontId="44" fillId="36" borderId="54" xfId="0" applyFont="1" applyFill="1" applyBorder="1" applyAlignment="1" applyProtection="1">
      <alignment vertical="center"/>
      <protection locked="0"/>
    </xf>
    <xf numFmtId="0" fontId="44" fillId="36" borderId="54" xfId="0" applyFont="1" applyFill="1" applyBorder="1" applyAlignment="1" applyProtection="1">
      <alignment horizontal="right" vertical="center"/>
      <protection locked="0"/>
    </xf>
    <xf numFmtId="0" fontId="44" fillId="36" borderId="56" xfId="0" applyFont="1" applyFill="1" applyBorder="1" applyAlignment="1" applyProtection="1">
      <alignment horizontal="right" vertical="center"/>
      <protection locked="0"/>
    </xf>
    <xf numFmtId="0" fontId="0" fillId="36" borderId="0" xfId="0" applyFill="1" applyBorder="1" applyAlignment="1" applyProtection="1">
      <alignment horizontal="left" vertical="center"/>
      <protection locked="0"/>
    </xf>
    <xf numFmtId="0" fontId="0" fillId="36" borderId="0" xfId="0" applyFill="1" applyBorder="1" applyAlignment="1" applyProtection="1">
      <alignment horizontal="center" vertical="center"/>
      <protection locked="0"/>
    </xf>
    <xf numFmtId="0" fontId="44" fillId="36" borderId="0" xfId="0" applyFont="1" applyFill="1" applyBorder="1" applyAlignment="1" applyProtection="1">
      <alignment horizontal="center" vertical="center"/>
      <protection locked="0"/>
    </xf>
    <xf numFmtId="0" fontId="44" fillId="36" borderId="57" xfId="0" applyFont="1" applyFill="1" applyBorder="1" applyAlignment="1" applyProtection="1">
      <alignment vertical="center"/>
      <protection locked="0"/>
    </xf>
    <xf numFmtId="0" fontId="44" fillId="36" borderId="0" xfId="0" applyFont="1" applyFill="1" applyBorder="1" applyAlignment="1" applyProtection="1">
      <alignment vertical="center"/>
      <protection locked="0"/>
    </xf>
    <xf numFmtId="0" fontId="44" fillId="36" borderId="0" xfId="0" applyFont="1" applyFill="1" applyBorder="1" applyAlignment="1" applyProtection="1">
      <alignment horizontal="right" vertical="center"/>
      <protection locked="0"/>
    </xf>
    <xf numFmtId="0" fontId="44" fillId="36" borderId="57" xfId="0" applyFont="1" applyFill="1" applyBorder="1" applyAlignment="1" applyProtection="1">
      <alignment horizontal="center" vertical="center"/>
      <protection locked="0"/>
    </xf>
    <xf numFmtId="2" fontId="0" fillId="36" borderId="0" xfId="0" applyNumberFormat="1" applyFill="1" applyBorder="1" applyAlignment="1" applyProtection="1">
      <alignment horizontal="center" vertical="center"/>
      <protection locked="0"/>
    </xf>
    <xf numFmtId="9" fontId="44" fillId="36" borderId="57" xfId="0" applyNumberFormat="1" applyFont="1" applyFill="1" applyBorder="1" applyAlignment="1" applyProtection="1">
      <alignment horizontal="center" vertical="center"/>
      <protection locked="0"/>
    </xf>
    <xf numFmtId="0" fontId="44" fillId="36" borderId="56" xfId="0" applyFont="1" applyFill="1" applyBorder="1" applyAlignment="1" applyProtection="1">
      <alignment vertical="center"/>
      <protection locked="0"/>
    </xf>
    <xf numFmtId="0" fontId="44" fillId="36" borderId="0" xfId="0" applyFont="1" applyFill="1" applyAlignment="1">
      <alignment vertical="center"/>
    </xf>
    <xf numFmtId="0" fontId="44" fillId="36" borderId="56" xfId="0" applyFont="1" applyFill="1" applyBorder="1" applyAlignment="1">
      <alignment vertical="center"/>
    </xf>
    <xf numFmtId="0" fontId="44" fillId="36" borderId="64" xfId="0" applyFont="1" applyFill="1" applyBorder="1" applyAlignment="1" applyProtection="1">
      <alignment horizontal="center" vertical="center"/>
      <protection locked="0"/>
    </xf>
    <xf numFmtId="0" fontId="0" fillId="36" borderId="65" xfId="0" applyFill="1" applyBorder="1" applyAlignment="1" applyProtection="1">
      <alignment horizontal="center" vertical="center"/>
      <protection locked="0"/>
    </xf>
    <xf numFmtId="0" fontId="0" fillId="36" borderId="65" xfId="0" applyFill="1" applyBorder="1" applyAlignment="1" applyProtection="1">
      <alignment horizontal="centerContinuous" vertical="center"/>
      <protection locked="0"/>
    </xf>
    <xf numFmtId="2" fontId="56" fillId="36" borderId="65" xfId="0" applyNumberFormat="1" applyFont="1" applyFill="1" applyBorder="1" applyAlignment="1" applyProtection="1">
      <alignment horizontal="centerContinuous" vertical="center"/>
      <protection locked="0"/>
    </xf>
    <xf numFmtId="0" fontId="44" fillId="36" borderId="65" xfId="0" applyFont="1" applyFill="1" applyBorder="1" applyAlignment="1">
      <alignment horizontal="centerContinuous" vertical="center"/>
    </xf>
    <xf numFmtId="0" fontId="56" fillId="36" borderId="65" xfId="0" applyFont="1" applyFill="1" applyBorder="1" applyAlignment="1" applyProtection="1">
      <alignment horizontal="left" vertical="center"/>
      <protection locked="0"/>
    </xf>
    <xf numFmtId="0" fontId="44" fillId="36" borderId="64" xfId="0" applyFont="1" applyFill="1" applyBorder="1" applyAlignment="1" applyProtection="1">
      <alignment vertical="center"/>
      <protection locked="0"/>
    </xf>
    <xf numFmtId="0" fontId="44" fillId="36" borderId="65" xfId="0" applyFont="1" applyFill="1" applyBorder="1" applyAlignment="1" applyProtection="1">
      <alignment vertical="center"/>
      <protection locked="0"/>
    </xf>
    <xf numFmtId="0" fontId="44" fillId="36" borderId="65" xfId="0" applyFont="1" applyFill="1" applyBorder="1" applyAlignment="1" applyProtection="1">
      <alignment horizontal="center" vertical="center"/>
      <protection locked="0"/>
    </xf>
    <xf numFmtId="0" fontId="44" fillId="36" borderId="66" xfId="0" applyFont="1" applyFill="1" applyBorder="1" applyAlignment="1" applyProtection="1">
      <alignment vertical="center"/>
      <protection locked="0"/>
    </xf>
    <xf numFmtId="0" fontId="56" fillId="36" borderId="0" xfId="0" applyFont="1" applyFill="1" applyAlignment="1" applyProtection="1">
      <alignment vertical="center"/>
      <protection locked="0"/>
    </xf>
    <xf numFmtId="0" fontId="44" fillId="36" borderId="67" xfId="0" applyFont="1" applyFill="1" applyBorder="1" applyAlignment="1" applyProtection="1">
      <alignment vertical="center"/>
      <protection locked="0"/>
    </xf>
    <xf numFmtId="0" fontId="44" fillId="36" borderId="55" xfId="0" applyFont="1" applyFill="1" applyBorder="1" applyAlignment="1" applyProtection="1">
      <alignment vertical="center"/>
      <protection locked="0"/>
    </xf>
    <xf numFmtId="0" fontId="44" fillId="36" borderId="53" xfId="0" applyFont="1" applyFill="1" applyBorder="1" applyAlignment="1" applyProtection="1">
      <alignment vertical="center"/>
      <protection locked="0"/>
    </xf>
    <xf numFmtId="0" fontId="0" fillId="36" borderId="54" xfId="0" applyFill="1" applyBorder="1" applyAlignment="1" applyProtection="1">
      <alignment vertical="center"/>
      <protection locked="0"/>
    </xf>
    <xf numFmtId="0" fontId="22" fillId="36" borderId="54" xfId="0" applyFont="1" applyFill="1" applyBorder="1" applyAlignment="1" applyProtection="1">
      <alignment horizontal="left" vertical="center"/>
      <protection locked="0"/>
    </xf>
    <xf numFmtId="0" fontId="44" fillId="36" borderId="68"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173" fontId="44" fillId="36" borderId="0" xfId="0" applyNumberFormat="1" applyFont="1" applyFill="1" applyBorder="1" applyAlignment="1" applyProtection="1">
      <alignment vertical="center"/>
      <protection locked="0"/>
    </xf>
    <xf numFmtId="0" fontId="44" fillId="36" borderId="69" xfId="0" applyFont="1" applyFill="1" applyBorder="1" applyAlignment="1" applyProtection="1">
      <alignment vertical="center"/>
      <protection locked="0"/>
    </xf>
    <xf numFmtId="0" fontId="44" fillId="36" borderId="70" xfId="0" applyFont="1" applyFill="1" applyBorder="1" applyAlignment="1" applyProtection="1">
      <alignment vertical="center"/>
      <protection locked="0"/>
    </xf>
    <xf numFmtId="2" fontId="44" fillId="36" borderId="0" xfId="0" applyNumberFormat="1" applyFont="1" applyFill="1" applyBorder="1" applyAlignment="1" applyProtection="1">
      <alignment vertical="center"/>
      <protection locked="0"/>
    </xf>
    <xf numFmtId="2" fontId="44" fillId="36" borderId="68" xfId="0" applyNumberFormat="1" applyFont="1" applyFill="1" applyBorder="1" applyAlignment="1" applyProtection="1">
      <alignment vertical="center"/>
      <protection locked="0"/>
    </xf>
    <xf numFmtId="0" fontId="44" fillId="36" borderId="71" xfId="0" applyFont="1" applyFill="1" applyBorder="1" applyAlignment="1" applyProtection="1">
      <alignment vertical="center"/>
      <protection locked="0"/>
    </xf>
    <xf numFmtId="0" fontId="0" fillId="36" borderId="65" xfId="0" applyFill="1" applyBorder="1" applyAlignment="1" applyProtection="1">
      <alignment vertical="center"/>
      <protection locked="0"/>
    </xf>
    <xf numFmtId="165" fontId="44" fillId="36" borderId="0" xfId="0" applyNumberFormat="1" applyFont="1" applyFill="1" applyAlignment="1" applyProtection="1">
      <alignment horizontal="center" vertical="center"/>
      <protection locked="0"/>
    </xf>
    <xf numFmtId="0" fontId="44" fillId="36" borderId="16" xfId="0" applyFont="1" applyFill="1" applyBorder="1" applyAlignment="1">
      <alignment vertical="center"/>
    </xf>
    <xf numFmtId="0" fontId="4" fillId="36" borderId="17" xfId="0" applyFont="1" applyFill="1" applyBorder="1" applyAlignment="1" applyProtection="1">
      <alignment horizontal="center" vertical="center"/>
      <protection locked="0"/>
    </xf>
    <xf numFmtId="176" fontId="85" fillId="36" borderId="0" xfId="0" applyNumberFormat="1" applyFont="1" applyFill="1" applyBorder="1" applyAlignment="1" applyProtection="1">
      <alignment horizontal="center" vertical="center"/>
      <protection locked="0"/>
    </xf>
    <xf numFmtId="0" fontId="44" fillId="36" borderId="21" xfId="0" applyFont="1" applyFill="1" applyBorder="1" applyAlignment="1">
      <alignment vertical="center"/>
    </xf>
    <xf numFmtId="0" fontId="4" fillId="36" borderId="22" xfId="0" applyFont="1" applyFill="1" applyBorder="1" applyAlignment="1" applyProtection="1">
      <alignment horizontal="center" vertical="center"/>
      <protection locked="0"/>
    </xf>
    <xf numFmtId="0" fontId="44" fillId="36" borderId="72" xfId="0" applyFont="1" applyFill="1" applyBorder="1" applyAlignment="1">
      <alignment vertical="center"/>
    </xf>
    <xf numFmtId="0" fontId="4" fillId="36" borderId="42" xfId="0" applyFont="1" applyFill="1" applyBorder="1" applyAlignment="1" applyProtection="1">
      <alignment horizontal="center" vertical="center"/>
      <protection locked="0"/>
    </xf>
    <xf numFmtId="0" fontId="96" fillId="36" borderId="0" xfId="0" applyFont="1" applyFill="1" applyAlignment="1">
      <alignment vertical="center"/>
    </xf>
    <xf numFmtId="0" fontId="44" fillId="39" borderId="0" xfId="0" applyFont="1" applyFill="1" applyAlignment="1" applyProtection="1">
      <alignment vertical="center"/>
      <protection locked="0"/>
    </xf>
    <xf numFmtId="0" fontId="44" fillId="0" borderId="0" xfId="0" applyFont="1" applyFill="1" applyAlignment="1" applyProtection="1">
      <alignment vertical="center"/>
      <protection locked="0"/>
    </xf>
    <xf numFmtId="1" fontId="44" fillId="0" borderId="0" xfId="0" applyNumberFormat="1" applyFont="1" applyFill="1" applyBorder="1" applyAlignment="1">
      <alignment horizontal="center" vertical="center"/>
    </xf>
    <xf numFmtId="0" fontId="109" fillId="0" borderId="0" xfId="0" applyFont="1" applyFill="1" applyAlignment="1">
      <alignment horizontal="center" vertical="center"/>
    </xf>
    <xf numFmtId="168" fontId="44" fillId="0" borderId="10" xfId="0" applyNumberFormat="1" applyFont="1" applyFill="1" applyBorder="1" applyAlignment="1" applyProtection="1">
      <alignment horizontal="center" vertical="center"/>
      <protection locked="0"/>
    </xf>
    <xf numFmtId="0" fontId="44" fillId="0" borderId="0" xfId="0" applyFont="1" applyFill="1" applyAlignment="1" applyProtection="1">
      <alignment horizontal="left" vertical="center"/>
      <protection locked="0"/>
    </xf>
    <xf numFmtId="0" fontId="44" fillId="34" borderId="0" xfId="62" applyFont="1" applyFill="1" applyBorder="1">
      <alignment/>
      <protection/>
    </xf>
    <xf numFmtId="0" fontId="94" fillId="34" borderId="0" xfId="0" applyFont="1" applyFill="1" applyAlignment="1" applyProtection="1">
      <alignment horizontal="right" vertical="center"/>
      <protection locked="0"/>
    </xf>
    <xf numFmtId="0" fontId="44" fillId="34" borderId="65" xfId="62" applyFont="1" applyFill="1" applyBorder="1">
      <alignment/>
      <protection/>
    </xf>
    <xf numFmtId="0" fontId="86" fillId="34" borderId="65" xfId="62" applyFont="1" applyFill="1" applyBorder="1">
      <alignment/>
      <protection/>
    </xf>
    <xf numFmtId="0" fontId="94" fillId="34" borderId="65" xfId="0" applyFont="1" applyFill="1" applyBorder="1" applyAlignment="1">
      <alignment horizontal="right" vertical="center"/>
    </xf>
    <xf numFmtId="0" fontId="44" fillId="34" borderId="0" xfId="62" applyFont="1" applyFill="1">
      <alignment/>
      <protection/>
    </xf>
    <xf numFmtId="0" fontId="56" fillId="34" borderId="0" xfId="0" applyFont="1" applyFill="1" applyAlignment="1">
      <alignment/>
    </xf>
    <xf numFmtId="0" fontId="44" fillId="34" borderId="0" xfId="0" applyFont="1" applyFill="1" applyAlignment="1">
      <alignment/>
    </xf>
    <xf numFmtId="0" fontId="98" fillId="34" borderId="0" xfId="0" applyFont="1" applyFill="1" applyAlignment="1">
      <alignment horizontal="centerContinuous"/>
    </xf>
    <xf numFmtId="0" fontId="44" fillId="34" borderId="0" xfId="0" applyFont="1" applyFill="1" applyAlignment="1">
      <alignment horizontal="centerContinuous"/>
    </xf>
    <xf numFmtId="11" fontId="44" fillId="34" borderId="0" xfId="0" applyNumberFormat="1" applyFont="1" applyFill="1" applyAlignment="1">
      <alignment horizontal="centerContinuous"/>
    </xf>
    <xf numFmtId="0" fontId="56" fillId="34" borderId="0" xfId="0" applyFont="1" applyFill="1" applyAlignment="1">
      <alignment horizontal="left"/>
    </xf>
    <xf numFmtId="0" fontId="44" fillId="34" borderId="0" xfId="0" applyFont="1" applyFill="1" applyBorder="1" applyAlignment="1">
      <alignment horizontal="centerContinuous"/>
    </xf>
    <xf numFmtId="11" fontId="44" fillId="34" borderId="0" xfId="0" applyNumberFormat="1" applyFont="1" applyFill="1" applyBorder="1" applyAlignment="1">
      <alignment horizontal="right"/>
    </xf>
    <xf numFmtId="0" fontId="44" fillId="34" borderId="0" xfId="62" applyFont="1" applyFill="1" applyBorder="1" applyAlignment="1">
      <alignment vertical="center"/>
      <protection/>
    </xf>
    <xf numFmtId="1" fontId="44" fillId="34" borderId="0" xfId="0" applyNumberFormat="1" applyFont="1" applyFill="1" applyBorder="1" applyAlignment="1">
      <alignment horizontal="center" vertical="center"/>
    </xf>
    <xf numFmtId="0" fontId="44" fillId="34" borderId="0" xfId="62" applyFont="1" applyFill="1" applyAlignment="1">
      <alignment vertical="center"/>
      <protection/>
    </xf>
    <xf numFmtId="1" fontId="44" fillId="34" borderId="0" xfId="0" applyNumberFormat="1" applyFont="1" applyFill="1" applyBorder="1" applyAlignment="1">
      <alignment horizontal="right"/>
    </xf>
    <xf numFmtId="0" fontId="44" fillId="34" borderId="0" xfId="62" applyFont="1" applyFill="1" applyBorder="1" applyProtection="1">
      <alignment/>
      <protection/>
    </xf>
    <xf numFmtId="0" fontId="108" fillId="34" borderId="0" xfId="62" applyFont="1" applyFill="1">
      <alignment/>
      <protection/>
    </xf>
    <xf numFmtId="168" fontId="44" fillId="34" borderId="37" xfId="62" applyNumberFormat="1" applyFont="1" applyFill="1" applyBorder="1" applyAlignment="1">
      <alignment horizontal="center"/>
      <protection/>
    </xf>
    <xf numFmtId="0" fontId="85" fillId="34" borderId="0" xfId="62" applyFont="1" applyFill="1" applyProtection="1">
      <alignment/>
      <protection/>
    </xf>
    <xf numFmtId="0" fontId="94" fillId="34" borderId="0" xfId="0" applyFont="1" applyFill="1" applyBorder="1" applyAlignment="1">
      <alignment horizontal="left"/>
    </xf>
    <xf numFmtId="0" fontId="94" fillId="34" borderId="65" xfId="0" applyFont="1" applyFill="1" applyBorder="1" applyAlignment="1">
      <alignment horizontal="left"/>
    </xf>
    <xf numFmtId="0" fontId="56" fillId="34" borderId="0" xfId="0" applyFont="1" applyFill="1" applyBorder="1" applyAlignment="1">
      <alignment horizontal="centerContinuous"/>
    </xf>
    <xf numFmtId="0" fontId="44" fillId="34" borderId="18" xfId="62" applyFont="1" applyFill="1" applyBorder="1">
      <alignment/>
      <protection/>
    </xf>
    <xf numFmtId="0" fontId="44" fillId="34" borderId="18" xfId="62" applyFont="1" applyFill="1" applyBorder="1" applyProtection="1">
      <alignment/>
      <protection/>
    </xf>
    <xf numFmtId="0" fontId="44" fillId="34" borderId="22" xfId="62" applyFont="1" applyFill="1" applyBorder="1">
      <alignment/>
      <protection/>
    </xf>
    <xf numFmtId="0" fontId="44" fillId="34" borderId="0" xfId="62" applyFont="1" applyFill="1" applyBorder="1" applyProtection="1">
      <alignment/>
      <protection locked="0"/>
    </xf>
    <xf numFmtId="0" fontId="44" fillId="34" borderId="21" xfId="62" applyFont="1" applyFill="1" applyBorder="1" applyProtection="1">
      <alignment/>
      <protection/>
    </xf>
    <xf numFmtId="0" fontId="44" fillId="34" borderId="22" xfId="62" applyFont="1" applyFill="1" applyBorder="1" applyProtection="1">
      <alignment/>
      <protection/>
    </xf>
    <xf numFmtId="0" fontId="98" fillId="34" borderId="0" xfId="0" applyFont="1" applyFill="1" applyAlignment="1" applyProtection="1">
      <alignment horizontal="right" vertical="center"/>
      <protection locked="0"/>
    </xf>
    <xf numFmtId="0" fontId="98" fillId="34" borderId="65" xfId="0" applyFont="1" applyFill="1" applyBorder="1" applyAlignment="1">
      <alignment horizontal="right" vertical="center"/>
    </xf>
    <xf numFmtId="0" fontId="44" fillId="34" borderId="0" xfId="0" applyFont="1" applyFill="1" applyAlignment="1">
      <alignment horizontal="center" vertical="center"/>
    </xf>
    <xf numFmtId="175" fontId="32" fillId="35" borderId="73" xfId="0" applyNumberFormat="1" applyFont="1" applyFill="1" applyBorder="1" applyAlignment="1" applyProtection="1">
      <alignment horizontal="center" vertical="center"/>
      <protection locked="0"/>
    </xf>
    <xf numFmtId="2" fontId="44" fillId="34" borderId="0" xfId="0" applyNumberFormat="1" applyFont="1" applyFill="1" applyAlignment="1">
      <alignment horizontal="center"/>
    </xf>
    <xf numFmtId="2" fontId="44" fillId="34" borderId="0" xfId="0" applyNumberFormat="1" applyFont="1" applyFill="1" applyAlignment="1">
      <alignment horizontal="centerContinuous"/>
    </xf>
    <xf numFmtId="3" fontId="102" fillId="34" borderId="0" xfId="0" applyNumberFormat="1" applyFont="1" applyFill="1" applyBorder="1" applyAlignment="1">
      <alignment/>
    </xf>
    <xf numFmtId="0" fontId="102" fillId="34" borderId="0" xfId="0" applyFont="1" applyFill="1" applyBorder="1" applyAlignment="1">
      <alignment/>
    </xf>
    <xf numFmtId="0" fontId="95" fillId="34" borderId="0" xfId="0" applyFont="1" applyFill="1" applyBorder="1" applyAlignment="1">
      <alignment horizontal="left"/>
    </xf>
    <xf numFmtId="0" fontId="44" fillId="34" borderId="0" xfId="0" applyFont="1" applyFill="1" applyAlignment="1">
      <alignment horizontal="right" vertical="center"/>
    </xf>
    <xf numFmtId="0" fontId="118" fillId="34" borderId="0" xfId="0" applyFont="1" applyFill="1" applyBorder="1" applyAlignment="1">
      <alignment horizontal="left"/>
    </xf>
    <xf numFmtId="0" fontId="119" fillId="34" borderId="16" xfId="0" applyFont="1" applyFill="1" applyBorder="1" applyAlignment="1">
      <alignment horizontal="right"/>
    </xf>
    <xf numFmtId="0" fontId="119" fillId="34" borderId="21" xfId="0" applyFont="1" applyFill="1" applyBorder="1" applyAlignment="1">
      <alignment horizontal="right"/>
    </xf>
    <xf numFmtId="0" fontId="44" fillId="34" borderId="0" xfId="0" applyFont="1" applyFill="1" applyBorder="1" applyAlignment="1">
      <alignment horizontal="center"/>
    </xf>
    <xf numFmtId="0" fontId="95" fillId="34" borderId="74" xfId="0" applyFont="1" applyFill="1" applyBorder="1" applyAlignment="1">
      <alignment horizontal="center"/>
    </xf>
    <xf numFmtId="1" fontId="56" fillId="34" borderId="75" xfId="0" applyNumberFormat="1" applyFont="1" applyFill="1" applyBorder="1" applyAlignment="1">
      <alignment horizontal="left"/>
    </xf>
    <xf numFmtId="1" fontId="44" fillId="34" borderId="75" xfId="0" applyNumberFormat="1" applyFont="1" applyFill="1" applyBorder="1" applyAlignment="1">
      <alignment horizontal="center"/>
    </xf>
    <xf numFmtId="0" fontId="120" fillId="34" borderId="76" xfId="0" applyFont="1" applyFill="1" applyBorder="1" applyAlignment="1">
      <alignment horizontal="right"/>
    </xf>
    <xf numFmtId="0" fontId="56" fillId="34" borderId="76" xfId="0" applyFont="1" applyFill="1" applyBorder="1" applyAlignment="1">
      <alignment horizontal="right"/>
    </xf>
    <xf numFmtId="0" fontId="121" fillId="34" borderId="76" xfId="0" applyFont="1" applyFill="1" applyBorder="1" applyAlignment="1">
      <alignment horizontal="right"/>
    </xf>
    <xf numFmtId="0" fontId="98" fillId="34" borderId="77" xfId="0" applyFont="1" applyFill="1" applyBorder="1" applyAlignment="1">
      <alignment horizontal="right"/>
    </xf>
    <xf numFmtId="11" fontId="52" fillId="34" borderId="78" xfId="0" applyNumberFormat="1" applyFont="1" applyFill="1" applyBorder="1" applyAlignment="1">
      <alignment horizontal="center"/>
    </xf>
    <xf numFmtId="11" fontId="52" fillId="34" borderId="79" xfId="0" applyNumberFormat="1" applyFont="1" applyFill="1" applyBorder="1" applyAlignment="1">
      <alignment horizontal="center"/>
    </xf>
    <xf numFmtId="11" fontId="52" fillId="34" borderId="80" xfId="0" applyNumberFormat="1" applyFont="1" applyFill="1" applyBorder="1" applyAlignment="1">
      <alignment horizontal="center"/>
    </xf>
    <xf numFmtId="11" fontId="52" fillId="34" borderId="15" xfId="0" applyNumberFormat="1" applyFont="1" applyFill="1" applyBorder="1" applyAlignment="1">
      <alignment horizontal="center"/>
    </xf>
    <xf numFmtId="11" fontId="52" fillId="34" borderId="14" xfId="0" applyNumberFormat="1" applyFont="1" applyFill="1" applyBorder="1" applyAlignment="1">
      <alignment horizontal="center"/>
    </xf>
    <xf numFmtId="11" fontId="52" fillId="34" borderId="33" xfId="0" applyNumberFormat="1" applyFont="1" applyFill="1" applyBorder="1" applyAlignment="1">
      <alignment horizontal="center"/>
    </xf>
    <xf numFmtId="11" fontId="52" fillId="34" borderId="81" xfId="0" applyNumberFormat="1" applyFont="1" applyFill="1" applyBorder="1" applyAlignment="1">
      <alignment horizontal="center"/>
    </xf>
    <xf numFmtId="11" fontId="52" fillId="34" borderId="82" xfId="0" applyNumberFormat="1" applyFont="1" applyFill="1" applyBorder="1" applyAlignment="1">
      <alignment horizontal="center"/>
    </xf>
    <xf numFmtId="11" fontId="52" fillId="34" borderId="83" xfId="0" applyNumberFormat="1" applyFont="1" applyFill="1" applyBorder="1" applyAlignment="1">
      <alignment horizontal="center"/>
    </xf>
    <xf numFmtId="0" fontId="98" fillId="34" borderId="0" xfId="0" applyFont="1" applyFill="1" applyBorder="1" applyAlignment="1">
      <alignment horizontal="right"/>
    </xf>
    <xf numFmtId="166" fontId="44" fillId="34" borderId="0" xfId="0" applyNumberFormat="1" applyFont="1" applyFill="1" applyBorder="1" applyAlignment="1">
      <alignment horizontal="center"/>
    </xf>
    <xf numFmtId="166" fontId="122" fillId="34" borderId="0" xfId="0" applyNumberFormat="1" applyFont="1" applyFill="1" applyAlignment="1">
      <alignment horizontal="center"/>
    </xf>
    <xf numFmtId="0" fontId="44" fillId="34" borderId="0" xfId="0" applyFont="1" applyFill="1" applyBorder="1" applyAlignment="1">
      <alignment/>
    </xf>
    <xf numFmtId="0" fontId="117" fillId="34" borderId="0" xfId="0" applyFont="1" applyFill="1" applyAlignment="1">
      <alignment vertical="center"/>
    </xf>
    <xf numFmtId="2" fontId="44" fillId="34" borderId="0" xfId="0" applyNumberFormat="1" applyFont="1" applyFill="1" applyAlignment="1">
      <alignment horizontal="center" vertical="center"/>
    </xf>
    <xf numFmtId="0" fontId="57" fillId="34" borderId="0" xfId="0" applyFont="1" applyFill="1" applyBorder="1" applyAlignment="1">
      <alignment vertical="center"/>
    </xf>
    <xf numFmtId="0" fontId="44" fillId="34" borderId="0" xfId="0" applyFont="1" applyFill="1" applyBorder="1" applyAlignment="1">
      <alignment horizontal="centerContinuous" vertical="center"/>
    </xf>
    <xf numFmtId="2" fontId="44" fillId="34" borderId="0" xfId="0" applyNumberFormat="1" applyFont="1" applyFill="1" applyBorder="1" applyAlignment="1">
      <alignment horizontal="centerContinuous" vertical="center"/>
    </xf>
    <xf numFmtId="0" fontId="56" fillId="34" borderId="65" xfId="0" applyFont="1" applyFill="1" applyBorder="1" applyAlignment="1">
      <alignment horizontal="right" vertical="center"/>
    </xf>
    <xf numFmtId="0" fontId="44" fillId="34" borderId="65" xfId="0" applyFont="1" applyFill="1" applyBorder="1" applyAlignment="1">
      <alignment horizontal="left" vertical="center"/>
    </xf>
    <xf numFmtId="0" fontId="56" fillId="34" borderId="65" xfId="0" applyFont="1" applyFill="1" applyBorder="1" applyAlignment="1">
      <alignment horizontal="left" vertical="center"/>
    </xf>
    <xf numFmtId="2" fontId="44" fillId="34" borderId="65" xfId="0" applyNumberFormat="1" applyFont="1" applyFill="1" applyBorder="1" applyAlignment="1">
      <alignment horizontal="centerContinuous" vertical="center"/>
    </xf>
    <xf numFmtId="3" fontId="102" fillId="34" borderId="0" xfId="0" applyNumberFormat="1" applyFont="1" applyFill="1" applyBorder="1" applyAlignment="1">
      <alignment vertical="center"/>
    </xf>
    <xf numFmtId="0" fontId="102" fillId="34" borderId="0" xfId="0" applyFont="1" applyFill="1" applyBorder="1" applyAlignment="1">
      <alignment vertical="center"/>
    </xf>
    <xf numFmtId="0" fontId="44" fillId="34" borderId="0" xfId="0" applyFont="1" applyFill="1" applyAlignment="1">
      <alignment horizontal="centerContinuous" vertical="center"/>
    </xf>
    <xf numFmtId="2" fontId="44" fillId="34" borderId="0" xfId="0" applyNumberFormat="1" applyFont="1" applyFill="1" applyAlignment="1">
      <alignment horizontal="centerContinuous" vertical="center"/>
    </xf>
    <xf numFmtId="0" fontId="95" fillId="34" borderId="0"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65" xfId="0" applyFont="1" applyFill="1" applyBorder="1" applyAlignment="1">
      <alignment horizontal="left" vertical="center"/>
    </xf>
    <xf numFmtId="0" fontId="44" fillId="34" borderId="0" xfId="0" applyFont="1" applyFill="1" applyAlignment="1">
      <alignment vertical="center"/>
    </xf>
    <xf numFmtId="2" fontId="44" fillId="34" borderId="0" xfId="0" applyNumberFormat="1" applyFont="1" applyFill="1" applyAlignment="1">
      <alignment vertical="center"/>
    </xf>
    <xf numFmtId="0" fontId="123" fillId="34" borderId="0" xfId="0" applyFont="1" applyFill="1" applyBorder="1" applyAlignment="1">
      <alignment horizontal="left"/>
    </xf>
    <xf numFmtId="0" fontId="117" fillId="34" borderId="0" xfId="0" applyFont="1" applyFill="1" applyAlignment="1">
      <alignment/>
    </xf>
    <xf numFmtId="2" fontId="44" fillId="34" borderId="0" xfId="0" applyNumberFormat="1" applyFont="1" applyFill="1" applyAlignment="1">
      <alignment/>
    </xf>
    <xf numFmtId="0" fontId="98" fillId="34" borderId="0" xfId="0" applyFont="1" applyFill="1" applyAlignment="1">
      <alignment horizontal="right" vertical="center"/>
    </xf>
    <xf numFmtId="0" fontId="117" fillId="34" borderId="65" xfId="0" applyFont="1" applyFill="1" applyBorder="1" applyAlignment="1">
      <alignment/>
    </xf>
    <xf numFmtId="0" fontId="44" fillId="34" borderId="65" xfId="0" applyFont="1" applyFill="1" applyBorder="1" applyAlignment="1">
      <alignment/>
    </xf>
    <xf numFmtId="2" fontId="44" fillId="34" borderId="65" xfId="0" applyNumberFormat="1" applyFont="1" applyFill="1" applyBorder="1" applyAlignment="1">
      <alignment/>
    </xf>
    <xf numFmtId="0" fontId="123" fillId="34" borderId="65" xfId="0" applyFont="1" applyFill="1" applyBorder="1" applyAlignment="1">
      <alignment horizontal="left"/>
    </xf>
    <xf numFmtId="0" fontId="124" fillId="34" borderId="0" xfId="0" applyFont="1" applyFill="1" applyBorder="1" applyAlignment="1">
      <alignment horizontal="centerContinuous"/>
    </xf>
    <xf numFmtId="0" fontId="95" fillId="34" borderId="0" xfId="0" applyFont="1" applyFill="1" applyAlignment="1">
      <alignment horizontal="left"/>
    </xf>
    <xf numFmtId="0" fontId="44" fillId="34" borderId="84" xfId="0" applyFont="1" applyFill="1" applyBorder="1" applyAlignment="1">
      <alignment horizontal="centerContinuous"/>
    </xf>
    <xf numFmtId="11" fontId="44" fillId="34" borderId="84" xfId="0" applyNumberFormat="1" applyFont="1" applyFill="1" applyBorder="1" applyAlignment="1">
      <alignment horizontal="right"/>
    </xf>
    <xf numFmtId="166" fontId="53" fillId="0" borderId="19" xfId="0" applyNumberFormat="1" applyFont="1" applyFill="1" applyBorder="1" applyAlignment="1">
      <alignment horizontal="center"/>
    </xf>
    <xf numFmtId="166" fontId="53" fillId="0" borderId="0" xfId="0" applyNumberFormat="1" applyFont="1" applyFill="1" applyBorder="1" applyAlignment="1">
      <alignment horizontal="center"/>
    </xf>
    <xf numFmtId="0" fontId="85" fillId="34" borderId="0" xfId="0" applyFont="1" applyFill="1" applyAlignment="1">
      <alignment/>
    </xf>
    <xf numFmtId="0" fontId="85" fillId="34" borderId="0" xfId="0" applyFont="1" applyFill="1" applyAlignment="1">
      <alignment horizontal="right"/>
    </xf>
    <xf numFmtId="2" fontId="85" fillId="34" borderId="0" xfId="0" applyNumberFormat="1" applyFont="1" applyFill="1" applyAlignment="1">
      <alignment horizontal="right"/>
    </xf>
    <xf numFmtId="166" fontId="125" fillId="34" borderId="0" xfId="0" applyNumberFormat="1" applyFont="1" applyFill="1" applyBorder="1" applyAlignment="1">
      <alignment horizontal="left"/>
    </xf>
    <xf numFmtId="2" fontId="44" fillId="34" borderId="0" xfId="0" applyNumberFormat="1" applyFont="1" applyFill="1" applyBorder="1" applyAlignment="1">
      <alignment/>
    </xf>
    <xf numFmtId="0" fontId="98" fillId="34" borderId="0" xfId="0" applyFont="1" applyFill="1" applyAlignment="1">
      <alignment/>
    </xf>
    <xf numFmtId="166" fontId="47" fillId="0" borderId="85" xfId="0" applyNumberFormat="1" applyFont="1" applyFill="1" applyBorder="1" applyAlignment="1">
      <alignment horizontal="center"/>
    </xf>
    <xf numFmtId="166" fontId="47" fillId="0" borderId="79" xfId="0" applyNumberFormat="1" applyFont="1" applyFill="1" applyBorder="1" applyAlignment="1">
      <alignment horizontal="center"/>
    </xf>
    <xf numFmtId="166" fontId="47" fillId="0" borderId="80" xfId="0" applyNumberFormat="1" applyFont="1" applyFill="1" applyBorder="1" applyAlignment="1">
      <alignment horizontal="center"/>
    </xf>
    <xf numFmtId="0" fontId="56" fillId="34" borderId="86" xfId="0" applyFont="1" applyFill="1" applyBorder="1" applyAlignment="1">
      <alignment vertical="justify" textRotation="90"/>
    </xf>
    <xf numFmtId="0" fontId="126" fillId="34" borderId="87" xfId="0" applyFont="1" applyFill="1" applyBorder="1" applyAlignment="1">
      <alignment/>
    </xf>
    <xf numFmtId="0" fontId="44" fillId="34" borderId="87" xfId="0" applyFont="1" applyFill="1" applyBorder="1" applyAlignment="1">
      <alignment/>
    </xf>
    <xf numFmtId="0" fontId="44" fillId="34" borderId="88" xfId="0" applyFont="1" applyFill="1" applyBorder="1" applyAlignment="1">
      <alignment/>
    </xf>
    <xf numFmtId="166" fontId="127" fillId="0" borderId="89" xfId="0" applyNumberFormat="1" applyFont="1" applyFill="1" applyBorder="1" applyAlignment="1">
      <alignment horizontal="center"/>
    </xf>
    <xf numFmtId="166" fontId="127" fillId="0" borderId="14" xfId="0" applyNumberFormat="1" applyFont="1" applyFill="1" applyBorder="1" applyAlignment="1">
      <alignment horizontal="center"/>
    </xf>
    <xf numFmtId="166" fontId="127" fillId="0" borderId="33" xfId="0" applyNumberFormat="1" applyFont="1" applyFill="1" applyBorder="1" applyAlignment="1">
      <alignment horizontal="center"/>
    </xf>
    <xf numFmtId="0" fontId="44" fillId="34" borderId="68" xfId="0" applyFont="1" applyFill="1" applyBorder="1" applyAlignment="1">
      <alignment vertical="justify" textRotation="90"/>
    </xf>
    <xf numFmtId="0" fontId="44" fillId="34" borderId="0" xfId="0" applyFont="1" applyFill="1" applyBorder="1" applyAlignment="1">
      <alignment horizontal="right" vertical="top"/>
    </xf>
    <xf numFmtId="168" fontId="53" fillId="34" borderId="19" xfId="0" applyNumberFormat="1" applyFont="1" applyFill="1" applyBorder="1" applyAlignment="1">
      <alignment horizontal="center"/>
    </xf>
    <xf numFmtId="0" fontId="98" fillId="34" borderId="49" xfId="0" applyFont="1" applyFill="1" applyBorder="1" applyAlignment="1">
      <alignment/>
    </xf>
    <xf numFmtId="0" fontId="44" fillId="34" borderId="68" xfId="0" applyFont="1" applyFill="1" applyBorder="1" applyAlignment="1">
      <alignment textRotation="90"/>
    </xf>
    <xf numFmtId="0" fontId="56" fillId="34" borderId="0" xfId="0" applyFont="1" applyFill="1" applyBorder="1" applyAlignment="1">
      <alignment horizontal="right" vertical="top"/>
    </xf>
    <xf numFmtId="0" fontId="44" fillId="34" borderId="49" xfId="0" applyFont="1" applyFill="1" applyBorder="1" applyAlignment="1">
      <alignment/>
    </xf>
    <xf numFmtId="0" fontId="57" fillId="34" borderId="68" xfId="0" applyFont="1" applyFill="1" applyBorder="1" applyAlignment="1">
      <alignment horizontal="left" vertical="top"/>
    </xf>
    <xf numFmtId="168" fontId="103" fillId="34" borderId="90" xfId="0" applyNumberFormat="1" applyFont="1" applyFill="1" applyBorder="1" applyAlignment="1">
      <alignment horizontal="center"/>
    </xf>
    <xf numFmtId="0" fontId="44" fillId="34" borderId="0" xfId="0" applyFont="1" applyFill="1" applyBorder="1" applyAlignment="1">
      <alignment vertical="justify"/>
    </xf>
    <xf numFmtId="0" fontId="56" fillId="34" borderId="0" xfId="0" applyFont="1" applyFill="1" applyBorder="1" applyAlignment="1">
      <alignment horizontal="right" vertical="justify"/>
    </xf>
    <xf numFmtId="0" fontId="44" fillId="34" borderId="68" xfId="0" applyFont="1" applyFill="1" applyBorder="1" applyAlignment="1">
      <alignment/>
    </xf>
    <xf numFmtId="0" fontId="56" fillId="34" borderId="68" xfId="0" applyFont="1" applyFill="1" applyBorder="1" applyAlignment="1">
      <alignment/>
    </xf>
    <xf numFmtId="0" fontId="44" fillId="34" borderId="0" xfId="0" applyFont="1" applyFill="1" applyBorder="1" applyAlignment="1">
      <alignment horizontal="right"/>
    </xf>
    <xf numFmtId="0" fontId="44" fillId="34" borderId="91" xfId="0" applyFont="1" applyFill="1" applyBorder="1" applyAlignment="1">
      <alignment/>
    </xf>
    <xf numFmtId="0" fontId="44" fillId="34" borderId="84" xfId="0" applyFont="1" applyFill="1" applyBorder="1" applyAlignment="1">
      <alignment/>
    </xf>
    <xf numFmtId="0" fontId="44" fillId="34" borderId="92" xfId="0" applyFont="1" applyFill="1" applyBorder="1" applyAlignment="1">
      <alignment/>
    </xf>
    <xf numFmtId="3" fontId="99" fillId="0" borderId="93" xfId="0" applyNumberFormat="1" applyFont="1" applyFill="1" applyBorder="1" applyAlignment="1">
      <alignment horizontal="center"/>
    </xf>
    <xf numFmtId="171" fontId="52" fillId="34" borderId="49" xfId="0" applyNumberFormat="1" applyFont="1" applyFill="1" applyBorder="1" applyAlignment="1">
      <alignment horizontal="left" vertical="justify"/>
    </xf>
    <xf numFmtId="0" fontId="44" fillId="34" borderId="0" xfId="59" applyFont="1" applyFill="1" applyAlignment="1">
      <alignment vertical="center"/>
      <protection/>
    </xf>
    <xf numFmtId="0" fontId="83" fillId="34" borderId="0" xfId="59" applyFont="1" applyFill="1" applyAlignment="1">
      <alignment vertical="center"/>
      <protection/>
    </xf>
    <xf numFmtId="0" fontId="44" fillId="34" borderId="0" xfId="59" applyFont="1" applyFill="1" applyAlignment="1">
      <alignment horizontal="center" vertical="center"/>
      <protection/>
    </xf>
    <xf numFmtId="0" fontId="44" fillId="36" borderId="0" xfId="59" applyFont="1" applyFill="1" applyAlignment="1">
      <alignment vertical="center"/>
      <protection/>
    </xf>
    <xf numFmtId="0" fontId="44" fillId="34" borderId="0" xfId="59" applyFont="1" applyFill="1" applyBorder="1" applyAlignment="1">
      <alignment vertical="center"/>
      <protection/>
    </xf>
    <xf numFmtId="0" fontId="44" fillId="34" borderId="0" xfId="59" applyFont="1" applyFill="1" applyBorder="1" applyAlignment="1">
      <alignment horizontal="center" vertical="center"/>
      <protection/>
    </xf>
    <xf numFmtId="0" fontId="57" fillId="34" borderId="0" xfId="59" applyFont="1" applyFill="1" applyBorder="1" applyAlignment="1">
      <alignment vertical="center"/>
      <protection/>
    </xf>
    <xf numFmtId="0" fontId="44" fillId="34" borderId="0" xfId="59" applyFont="1" applyFill="1" applyAlignment="1">
      <alignment horizontal="left" vertical="center"/>
      <protection/>
    </xf>
    <xf numFmtId="0" fontId="44" fillId="0" borderId="19" xfId="59" applyFont="1" applyFill="1" applyBorder="1" applyAlignment="1">
      <alignment horizontal="center" vertical="center"/>
      <protection/>
    </xf>
    <xf numFmtId="0" fontId="56" fillId="0" borderId="19" xfId="59" applyFont="1" applyFill="1" applyBorder="1" applyAlignment="1">
      <alignment horizontal="center" vertical="center"/>
      <protection/>
    </xf>
    <xf numFmtId="0" fontId="57" fillId="34" borderId="0" xfId="59" applyFont="1" applyFill="1" applyAlignment="1">
      <alignment vertical="center"/>
      <protection/>
    </xf>
    <xf numFmtId="0" fontId="98" fillId="34" borderId="0" xfId="59" applyFont="1" applyFill="1" applyAlignment="1">
      <alignment vertical="center"/>
      <protection/>
    </xf>
    <xf numFmtId="0" fontId="44" fillId="36" borderId="0" xfId="59" applyFont="1" applyFill="1" applyBorder="1" applyAlignment="1">
      <alignment vertical="center"/>
      <protection/>
    </xf>
    <xf numFmtId="0" fontId="44" fillId="34" borderId="94" xfId="59" applyFont="1" applyFill="1" applyBorder="1" applyAlignment="1">
      <alignment vertical="center" wrapText="1"/>
      <protection/>
    </xf>
    <xf numFmtId="0" fontId="44" fillId="34" borderId="42" xfId="59" applyFont="1" applyFill="1" applyBorder="1" applyAlignment="1">
      <alignment vertical="center" wrapText="1"/>
      <protection/>
    </xf>
    <xf numFmtId="0" fontId="44" fillId="34" borderId="95" xfId="59" applyFont="1" applyFill="1" applyBorder="1" applyAlignment="1">
      <alignment horizontal="center" vertical="center" wrapText="1"/>
      <protection/>
    </xf>
    <xf numFmtId="0" fontId="44" fillId="34" borderId="96" xfId="59" applyFont="1" applyFill="1" applyBorder="1" applyAlignment="1">
      <alignment horizontal="center" vertical="center" wrapText="1"/>
      <protection/>
    </xf>
    <xf numFmtId="0" fontId="44" fillId="34" borderId="97" xfId="59" applyFont="1" applyFill="1" applyBorder="1" applyAlignment="1">
      <alignment horizontal="center" vertical="center" wrapText="1"/>
      <protection/>
    </xf>
    <xf numFmtId="0" fontId="44" fillId="34" borderId="98" xfId="59" applyFont="1" applyFill="1" applyBorder="1" applyAlignment="1">
      <alignment vertical="center"/>
      <protection/>
    </xf>
    <xf numFmtId="0" fontId="44" fillId="34" borderId="49" xfId="59" applyFont="1" applyFill="1" applyBorder="1" applyAlignment="1">
      <alignment vertical="center"/>
      <protection/>
    </xf>
    <xf numFmtId="0" fontId="44" fillId="34" borderId="18" xfId="59" applyFont="1" applyFill="1" applyBorder="1" applyAlignment="1">
      <alignment horizontal="center" vertical="center"/>
      <protection/>
    </xf>
    <xf numFmtId="0" fontId="44" fillId="34" borderId="27" xfId="59" applyFont="1" applyFill="1" applyBorder="1" applyAlignment="1">
      <alignment horizontal="center" vertical="center"/>
      <protection/>
    </xf>
    <xf numFmtId="0" fontId="44" fillId="34" borderId="99" xfId="59" applyFont="1" applyFill="1" applyBorder="1" applyAlignment="1">
      <alignment horizontal="center" vertical="center"/>
      <protection/>
    </xf>
    <xf numFmtId="0" fontId="44" fillId="34" borderId="100" xfId="59" applyFont="1" applyFill="1" applyBorder="1" applyAlignment="1">
      <alignment horizontal="center" vertical="center"/>
      <protection/>
    </xf>
    <xf numFmtId="0" fontId="44" fillId="34" borderId="101" xfId="59" applyFont="1" applyFill="1" applyBorder="1" applyAlignment="1">
      <alignment horizontal="center" vertical="center"/>
      <protection/>
    </xf>
    <xf numFmtId="0" fontId="44" fillId="34" borderId="102" xfId="59" applyFont="1" applyFill="1" applyBorder="1" applyAlignment="1">
      <alignment horizontal="center" vertical="center"/>
      <protection/>
    </xf>
    <xf numFmtId="0" fontId="44" fillId="34" borderId="103" xfId="59" applyFont="1" applyFill="1" applyBorder="1" applyAlignment="1">
      <alignment horizontal="center" vertical="center"/>
      <protection/>
    </xf>
    <xf numFmtId="0" fontId="44" fillId="34" borderId="104" xfId="59" applyFont="1" applyFill="1" applyBorder="1" applyAlignment="1">
      <alignment horizontal="center" vertical="center"/>
      <protection/>
    </xf>
    <xf numFmtId="0" fontId="44" fillId="36" borderId="0" xfId="59" applyFont="1" applyFill="1" applyAlignment="1">
      <alignment horizontal="center" vertical="center"/>
      <protection/>
    </xf>
    <xf numFmtId="0" fontId="44" fillId="34" borderId="54" xfId="59" applyFont="1" applyFill="1" applyBorder="1" applyAlignment="1">
      <alignment vertical="center"/>
      <protection/>
    </xf>
    <xf numFmtId="0" fontId="44" fillId="34" borderId="105" xfId="59" applyFont="1" applyFill="1" applyBorder="1" applyAlignment="1">
      <alignment horizontal="center" vertical="center"/>
      <protection/>
    </xf>
    <xf numFmtId="0" fontId="44" fillId="34" borderId="80" xfId="59" applyFont="1" applyFill="1" applyBorder="1" applyAlignment="1">
      <alignment horizontal="center" vertical="center"/>
      <protection/>
    </xf>
    <xf numFmtId="0" fontId="44" fillId="34" borderId="22" xfId="59" applyFont="1" applyFill="1" applyBorder="1" applyAlignment="1">
      <alignment vertical="center"/>
      <protection/>
    </xf>
    <xf numFmtId="0" fontId="44" fillId="34" borderId="106" xfId="59" applyFont="1" applyFill="1" applyBorder="1" applyAlignment="1">
      <alignment horizontal="center" vertical="center"/>
      <protection/>
    </xf>
    <xf numFmtId="0" fontId="44" fillId="34" borderId="107" xfId="59" applyFont="1" applyFill="1" applyBorder="1" applyAlignment="1">
      <alignment horizontal="center" vertical="center"/>
      <protection/>
    </xf>
    <xf numFmtId="0" fontId="44" fillId="34" borderId="17" xfId="59" applyFont="1" applyFill="1" applyBorder="1" applyAlignment="1">
      <alignment vertical="center" wrapText="1"/>
      <protection/>
    </xf>
    <xf numFmtId="0" fontId="44" fillId="34" borderId="108" xfId="59" applyFont="1" applyFill="1" applyBorder="1" applyAlignment="1">
      <alignment horizontal="center" vertical="center"/>
      <protection/>
    </xf>
    <xf numFmtId="0" fontId="44" fillId="34" borderId="109" xfId="59" applyFont="1" applyFill="1" applyBorder="1" applyAlignment="1">
      <alignment horizontal="center" vertical="center"/>
      <protection/>
    </xf>
    <xf numFmtId="0" fontId="44" fillId="34" borderId="22" xfId="59" applyFont="1" applyFill="1" applyBorder="1" applyAlignment="1">
      <alignment vertical="center" wrapText="1"/>
      <protection/>
    </xf>
    <xf numFmtId="0" fontId="44" fillId="34" borderId="0" xfId="59" applyFont="1" applyFill="1" applyBorder="1" applyAlignment="1">
      <alignment vertical="center" wrapText="1"/>
      <protection/>
    </xf>
    <xf numFmtId="0" fontId="57" fillId="34" borderId="0" xfId="59" applyFont="1" applyFill="1" applyAlignment="1">
      <alignment horizontal="left" vertical="center"/>
      <protection/>
    </xf>
    <xf numFmtId="0" fontId="44" fillId="34" borderId="110"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112" xfId="59" applyFont="1" applyFill="1" applyBorder="1" applyAlignment="1">
      <alignment horizontal="center" vertical="center"/>
      <protection/>
    </xf>
    <xf numFmtId="0" fontId="44" fillId="34" borderId="113" xfId="59" applyFont="1" applyFill="1" applyBorder="1" applyAlignment="1">
      <alignment horizontal="center" vertical="center"/>
      <protection/>
    </xf>
    <xf numFmtId="0" fontId="44" fillId="34" borderId="114" xfId="59" applyFont="1" applyFill="1" applyBorder="1" applyAlignment="1">
      <alignment horizontal="center" vertical="center"/>
      <protection/>
    </xf>
    <xf numFmtId="0" fontId="44" fillId="34" borderId="115" xfId="59" applyFont="1" applyFill="1" applyBorder="1" applyAlignment="1">
      <alignment horizontal="center" vertical="center"/>
      <protection/>
    </xf>
    <xf numFmtId="0" fontId="128" fillId="34" borderId="116" xfId="59" applyFont="1" applyFill="1" applyBorder="1" applyAlignment="1">
      <alignment horizontal="center" vertical="center"/>
      <protection/>
    </xf>
    <xf numFmtId="0" fontId="44" fillId="34" borderId="117" xfId="59" applyFont="1" applyFill="1" applyBorder="1" applyAlignment="1">
      <alignment horizontal="center" vertical="center"/>
      <protection/>
    </xf>
    <xf numFmtId="0" fontId="128" fillId="34" borderId="118" xfId="59" applyFont="1" applyFill="1" applyBorder="1" applyAlignment="1">
      <alignment horizontal="center" vertical="center"/>
      <protection/>
    </xf>
    <xf numFmtId="0" fontId="128" fillId="34" borderId="119" xfId="59" applyFont="1" applyFill="1" applyBorder="1" applyAlignment="1">
      <alignment horizontal="center" vertical="center"/>
      <protection/>
    </xf>
    <xf numFmtId="0" fontId="44" fillId="34" borderId="120" xfId="59" applyFont="1" applyFill="1" applyBorder="1" applyAlignment="1">
      <alignment horizontal="center" vertical="center" wrapText="1"/>
      <protection/>
    </xf>
    <xf numFmtId="0" fontId="44" fillId="34" borderId="121" xfId="59" applyFont="1" applyFill="1" applyBorder="1" applyAlignment="1">
      <alignment horizontal="center" vertical="center" wrapText="1"/>
      <protection/>
    </xf>
    <xf numFmtId="0" fontId="121" fillId="34" borderId="122" xfId="59" applyFont="1" applyFill="1" applyBorder="1" applyAlignment="1">
      <alignment horizontal="center" vertical="center"/>
      <protection/>
    </xf>
    <xf numFmtId="0" fontId="44" fillId="34" borderId="123" xfId="59" applyFont="1" applyFill="1" applyBorder="1" applyAlignment="1">
      <alignment horizontal="center" vertical="center"/>
      <protection/>
    </xf>
    <xf numFmtId="0" fontId="95" fillId="34" borderId="124" xfId="59" applyFont="1" applyFill="1" applyBorder="1" applyAlignment="1">
      <alignment horizontal="center" vertical="center"/>
      <protection/>
    </xf>
    <xf numFmtId="0" fontId="52" fillId="34" borderId="45" xfId="59" applyFont="1" applyFill="1" applyBorder="1" applyAlignment="1">
      <alignment horizontal="center" vertical="center" wrapText="1"/>
      <protection/>
    </xf>
    <xf numFmtId="0" fontId="52" fillId="34" borderId="125" xfId="59" applyFont="1" applyFill="1" applyBorder="1" applyAlignment="1">
      <alignment horizontal="center" vertical="center" wrapText="1"/>
      <protection/>
    </xf>
    <xf numFmtId="0" fontId="52" fillId="34" borderId="126" xfId="59" applyFont="1" applyFill="1" applyBorder="1" applyAlignment="1">
      <alignment horizontal="center" vertical="center" wrapText="1"/>
      <protection/>
    </xf>
    <xf numFmtId="0" fontId="44" fillId="34" borderId="65" xfId="59" applyFont="1" applyFill="1" applyBorder="1" applyAlignment="1">
      <alignment vertical="center"/>
      <protection/>
    </xf>
    <xf numFmtId="0" fontId="112" fillId="34" borderId="65" xfId="59" applyFont="1" applyFill="1" applyBorder="1" applyAlignment="1">
      <alignment horizontal="right" vertical="center"/>
      <protection/>
    </xf>
    <xf numFmtId="0" fontId="98" fillId="34" borderId="65" xfId="0" applyFont="1" applyFill="1" applyBorder="1" applyAlignment="1" applyProtection="1">
      <alignment horizontal="right" vertical="center"/>
      <protection locked="0"/>
    </xf>
    <xf numFmtId="0" fontId="85" fillId="0" borderId="78" xfId="59" applyFont="1" applyFill="1" applyBorder="1" applyAlignment="1">
      <alignment horizontal="center" vertical="center"/>
      <protection/>
    </xf>
    <xf numFmtId="0" fontId="85" fillId="0" borderId="79" xfId="59" applyFont="1" applyFill="1" applyBorder="1" applyAlignment="1">
      <alignment horizontal="center" vertical="center"/>
      <protection/>
    </xf>
    <xf numFmtId="0" fontId="85" fillId="0" borderId="127" xfId="59" applyFont="1" applyFill="1" applyBorder="1" applyAlignment="1">
      <alignment horizontal="center" vertical="center"/>
      <protection/>
    </xf>
    <xf numFmtId="0" fontId="85" fillId="0" borderId="128" xfId="59" applyFont="1" applyFill="1" applyBorder="1" applyAlignment="1">
      <alignment horizontal="center" vertical="center"/>
      <protection/>
    </xf>
    <xf numFmtId="0" fontId="85" fillId="0" borderId="129" xfId="59" applyFont="1" applyFill="1" applyBorder="1" applyAlignment="1">
      <alignment horizontal="center" vertical="center"/>
      <protection/>
    </xf>
    <xf numFmtId="0" fontId="85" fillId="0" borderId="130" xfId="59" applyFont="1" applyFill="1" applyBorder="1" applyAlignment="1">
      <alignment horizontal="center" vertical="center"/>
      <protection/>
    </xf>
    <xf numFmtId="0" fontId="85" fillId="0" borderId="131" xfId="59" applyFont="1" applyFill="1" applyBorder="1" applyAlignment="1">
      <alignment horizontal="center" vertical="center"/>
      <protection/>
    </xf>
    <xf numFmtId="0" fontId="85" fillId="0" borderId="132" xfId="59" applyFont="1" applyFill="1" applyBorder="1" applyAlignment="1">
      <alignment horizontal="center" vertical="center"/>
      <protection/>
    </xf>
    <xf numFmtId="0" fontId="85" fillId="0" borderId="133" xfId="59" applyFont="1" applyFill="1" applyBorder="1" applyAlignment="1">
      <alignment horizontal="center" vertical="center"/>
      <protection/>
    </xf>
    <xf numFmtId="0" fontId="52" fillId="34" borderId="116" xfId="59" applyFont="1" applyFill="1" applyBorder="1" applyAlignment="1">
      <alignment horizontal="center" vertical="center"/>
      <protection/>
    </xf>
    <xf numFmtId="168" fontId="52" fillId="34" borderId="116" xfId="59" applyNumberFormat="1" applyFont="1" applyFill="1" applyBorder="1" applyAlignment="1">
      <alignment horizontal="center" vertical="center"/>
      <protection/>
    </xf>
    <xf numFmtId="169" fontId="52" fillId="34" borderId="134" xfId="65" applyNumberFormat="1" applyFont="1" applyFill="1" applyBorder="1" applyAlignment="1">
      <alignment horizontal="center" vertical="center" wrapText="1"/>
    </xf>
    <xf numFmtId="0" fontId="52" fillId="34" borderId="118" xfId="59" applyFont="1" applyFill="1" applyBorder="1" applyAlignment="1">
      <alignment horizontal="center" vertical="center"/>
      <protection/>
    </xf>
    <xf numFmtId="168" fontId="52" fillId="34" borderId="118" xfId="59" applyNumberFormat="1" applyFont="1" applyFill="1" applyBorder="1" applyAlignment="1">
      <alignment horizontal="center" vertical="center"/>
      <protection/>
    </xf>
    <xf numFmtId="169" fontId="52" fillId="34" borderId="135" xfId="65" applyNumberFormat="1" applyFont="1" applyFill="1" applyBorder="1" applyAlignment="1">
      <alignment horizontal="center" vertical="center" wrapText="1"/>
    </xf>
    <xf numFmtId="0" fontId="52" fillId="34" borderId="119" xfId="59" applyFont="1" applyFill="1" applyBorder="1" applyAlignment="1">
      <alignment horizontal="center" vertical="center"/>
      <protection/>
    </xf>
    <xf numFmtId="168" fontId="52" fillId="34" borderId="119" xfId="59" applyNumberFormat="1" applyFont="1" applyFill="1" applyBorder="1" applyAlignment="1">
      <alignment horizontal="center" vertical="center"/>
      <protection/>
    </xf>
    <xf numFmtId="169" fontId="52" fillId="34" borderId="136" xfId="65" applyNumberFormat="1" applyFont="1" applyFill="1" applyBorder="1" applyAlignment="1">
      <alignment horizontal="center" vertical="center" wrapText="1"/>
    </xf>
    <xf numFmtId="0" fontId="52" fillId="34" borderId="124" xfId="59" applyFont="1" applyFill="1" applyBorder="1" applyAlignment="1">
      <alignment horizontal="center" vertical="center"/>
      <protection/>
    </xf>
    <xf numFmtId="168" fontId="52" fillId="34" borderId="124" xfId="59" applyNumberFormat="1" applyFont="1" applyFill="1" applyBorder="1" applyAlignment="1">
      <alignment horizontal="center" vertical="center"/>
      <protection/>
    </xf>
    <xf numFmtId="169" fontId="52" fillId="34" borderId="137" xfId="65" applyNumberFormat="1" applyFont="1" applyFill="1" applyBorder="1" applyAlignment="1">
      <alignment horizontal="center" vertical="center"/>
    </xf>
    <xf numFmtId="0" fontId="44" fillId="34" borderId="65" xfId="0" applyFont="1" applyFill="1" applyBorder="1" applyAlignment="1">
      <alignment vertical="center"/>
    </xf>
    <xf numFmtId="0" fontId="57" fillId="34" borderId="0" xfId="0" applyFont="1" applyFill="1" applyAlignment="1">
      <alignment/>
    </xf>
    <xf numFmtId="0" fontId="108" fillId="34" borderId="0" xfId="0" applyFont="1" applyFill="1" applyAlignment="1">
      <alignment/>
    </xf>
    <xf numFmtId="0" fontId="56" fillId="34" borderId="0" xfId="0" applyFont="1" applyFill="1" applyBorder="1" applyAlignment="1">
      <alignment vertical="center"/>
    </xf>
    <xf numFmtId="0" fontId="56" fillId="34" borderId="0" xfId="0" applyFont="1" applyFill="1" applyBorder="1" applyAlignment="1">
      <alignment horizontal="center" vertical="center"/>
    </xf>
    <xf numFmtId="0" fontId="44" fillId="34" borderId="0" xfId="0" applyFont="1" applyFill="1" applyBorder="1" applyAlignment="1">
      <alignment horizontal="center" vertical="center" wrapText="1"/>
    </xf>
    <xf numFmtId="0" fontId="44" fillId="34" borderId="138" xfId="0" applyFont="1" applyFill="1" applyBorder="1" applyAlignment="1">
      <alignment horizontal="center" vertical="center"/>
    </xf>
    <xf numFmtId="0" fontId="44" fillId="34" borderId="139" xfId="0" applyFont="1" applyFill="1" applyBorder="1" applyAlignment="1">
      <alignment horizontal="center" vertical="center"/>
    </xf>
    <xf numFmtId="0" fontId="44" fillId="34" borderId="0" xfId="0" applyFont="1" applyFill="1" applyBorder="1" applyAlignment="1">
      <alignment horizontal="center" vertical="center"/>
    </xf>
    <xf numFmtId="0" fontId="44" fillId="34" borderId="18" xfId="0" applyFont="1" applyFill="1" applyBorder="1" applyAlignment="1">
      <alignment horizontal="center" vertical="center"/>
    </xf>
    <xf numFmtId="0" fontId="44" fillId="0" borderId="140" xfId="0" applyFont="1" applyFill="1" applyBorder="1" applyAlignment="1">
      <alignment horizontal="center" vertical="center"/>
    </xf>
    <xf numFmtId="0" fontId="44" fillId="34" borderId="21" xfId="0" applyFont="1" applyFill="1" applyBorder="1" applyAlignment="1">
      <alignment horizontal="center" vertical="center"/>
    </xf>
    <xf numFmtId="0" fontId="44" fillId="0" borderId="141" xfId="0" applyFont="1" applyFill="1" applyBorder="1" applyAlignment="1">
      <alignment horizontal="center" vertical="center"/>
    </xf>
    <xf numFmtId="11" fontId="108" fillId="0" borderId="0" xfId="57" applyNumberFormat="1" applyFont="1" applyFill="1" applyBorder="1">
      <alignment/>
      <protection/>
    </xf>
    <xf numFmtId="0" fontId="108" fillId="0" borderId="0" xfId="57" applyNumberFormat="1" applyFont="1" applyFill="1" applyBorder="1">
      <alignment/>
      <protection/>
    </xf>
    <xf numFmtId="0" fontId="131" fillId="34" borderId="0" xfId="0" applyNumberFormat="1" applyFont="1" applyFill="1" applyBorder="1" applyAlignment="1">
      <alignment horizontal="left" vertical="center"/>
    </xf>
    <xf numFmtId="11" fontId="44" fillId="0" borderId="0" xfId="57" applyNumberFormat="1" applyFont="1" applyFill="1" applyBorder="1">
      <alignment/>
      <protection/>
    </xf>
    <xf numFmtId="11" fontId="44" fillId="0" borderId="18" xfId="57" applyNumberFormat="1" applyFont="1" applyFill="1" applyBorder="1">
      <alignment/>
      <protection/>
    </xf>
    <xf numFmtId="11" fontId="44" fillId="0" borderId="27" xfId="57" applyNumberFormat="1" applyFont="1" applyFill="1" applyBorder="1">
      <alignment/>
      <protection/>
    </xf>
    <xf numFmtId="0" fontId="44" fillId="34" borderId="142" xfId="0" applyFont="1" applyFill="1" applyBorder="1" applyAlignment="1">
      <alignment vertical="center"/>
    </xf>
    <xf numFmtId="0" fontId="44" fillId="34" borderId="132" xfId="0" applyFont="1" applyFill="1" applyBorder="1" applyAlignment="1">
      <alignment horizontal="center" vertical="center"/>
    </xf>
    <xf numFmtId="11" fontId="44" fillId="34" borderId="133" xfId="0" applyNumberFormat="1" applyFont="1" applyFill="1" applyBorder="1" applyAlignment="1">
      <alignment horizontal="center" vertical="center"/>
    </xf>
    <xf numFmtId="0" fontId="44" fillId="34" borderId="0" xfId="0" applyFont="1" applyFill="1" applyBorder="1" applyAlignment="1">
      <alignment vertical="center"/>
    </xf>
    <xf numFmtId="0" fontId="44" fillId="34" borderId="93" xfId="0" applyFont="1" applyFill="1" applyBorder="1" applyAlignment="1">
      <alignment horizontal="center" vertical="center"/>
    </xf>
    <xf numFmtId="0" fontId="44" fillId="34" borderId="143" xfId="0" applyFont="1" applyFill="1" applyBorder="1" applyAlignment="1">
      <alignment horizontal="left" vertical="center"/>
    </xf>
    <xf numFmtId="0" fontId="98" fillId="34" borderId="31" xfId="0" applyFont="1" applyFill="1" applyBorder="1" applyAlignment="1">
      <alignment horizontal="center" vertical="center"/>
    </xf>
    <xf numFmtId="166" fontId="44" fillId="34" borderId="144" xfId="0" applyNumberFormat="1" applyFont="1" applyFill="1" applyBorder="1" applyAlignment="1">
      <alignment horizontal="center" vertical="center"/>
    </xf>
    <xf numFmtId="0" fontId="44" fillId="34" borderId="145" xfId="0" applyFont="1" applyFill="1" applyBorder="1" applyAlignment="1">
      <alignment horizontal="left" vertical="center"/>
    </xf>
    <xf numFmtId="0" fontId="98" fillId="34" borderId="14" xfId="0" applyFont="1" applyFill="1" applyBorder="1" applyAlignment="1">
      <alignment horizontal="center" vertical="center"/>
    </xf>
    <xf numFmtId="166" fontId="44" fillId="34" borderId="146" xfId="0" applyNumberFormat="1" applyFont="1" applyFill="1" applyBorder="1" applyAlignment="1">
      <alignment horizontal="center" vertical="center"/>
    </xf>
    <xf numFmtId="0" fontId="56" fillId="34" borderId="0" xfId="0" applyFont="1" applyFill="1" applyBorder="1" applyAlignment="1" applyProtection="1">
      <alignment vertical="center"/>
      <protection locked="0"/>
    </xf>
    <xf numFmtId="0" fontId="98" fillId="34" borderId="129" xfId="0" applyFont="1" applyFill="1" applyBorder="1" applyAlignment="1">
      <alignment horizontal="center" vertical="center"/>
    </xf>
    <xf numFmtId="0" fontId="85" fillId="34" borderId="132" xfId="0" applyFont="1" applyFill="1" applyBorder="1" applyAlignment="1">
      <alignment vertical="center"/>
    </xf>
    <xf numFmtId="0" fontId="44" fillId="34" borderId="143" xfId="0" applyFont="1" applyFill="1" applyBorder="1" applyAlignment="1">
      <alignment vertical="center"/>
    </xf>
    <xf numFmtId="0" fontId="44" fillId="34" borderId="31" xfId="0" applyFont="1" applyFill="1" applyBorder="1" applyAlignment="1">
      <alignment horizontal="center" vertical="center"/>
    </xf>
    <xf numFmtId="2" fontId="44" fillId="34" borderId="31" xfId="0" applyNumberFormat="1" applyFont="1" applyFill="1" applyBorder="1" applyAlignment="1">
      <alignment horizontal="center" vertical="center"/>
    </xf>
    <xf numFmtId="2" fontId="44" fillId="34" borderId="0" xfId="0" applyNumberFormat="1" applyFont="1" applyFill="1" applyBorder="1" applyAlignment="1">
      <alignment horizontal="center" vertical="center"/>
    </xf>
    <xf numFmtId="0" fontId="44" fillId="34" borderId="147" xfId="0" applyFont="1" applyFill="1" applyBorder="1" applyAlignment="1">
      <alignment vertical="center"/>
    </xf>
    <xf numFmtId="2" fontId="44" fillId="34" borderId="93" xfId="0" applyNumberFormat="1" applyFont="1" applyFill="1" applyBorder="1" applyAlignment="1">
      <alignment horizontal="center" vertical="center"/>
    </xf>
    <xf numFmtId="0" fontId="44" fillId="34" borderId="148" xfId="0" applyFont="1" applyFill="1" applyBorder="1" applyAlignment="1">
      <alignment vertical="center"/>
    </xf>
    <xf numFmtId="0" fontId="44" fillId="34" borderId="149" xfId="0" applyFont="1" applyFill="1" applyBorder="1" applyAlignment="1">
      <alignment horizontal="center" vertical="center"/>
    </xf>
    <xf numFmtId="9" fontId="44" fillId="34" borderId="149" xfId="65" applyFont="1" applyFill="1" applyBorder="1" applyAlignment="1">
      <alignment horizontal="center" vertical="center"/>
    </xf>
    <xf numFmtId="9" fontId="44" fillId="34" borderId="0" xfId="65" applyFont="1" applyFill="1" applyBorder="1" applyAlignment="1">
      <alignment horizontal="center" vertical="center"/>
    </xf>
    <xf numFmtId="0" fontId="44" fillId="34" borderId="22" xfId="0" applyFont="1" applyFill="1" applyBorder="1" applyAlignment="1">
      <alignment horizontal="center" vertical="center"/>
    </xf>
    <xf numFmtId="0" fontId="44" fillId="34" borderId="26" xfId="0" applyFont="1" applyFill="1" applyBorder="1" applyAlignment="1">
      <alignment horizontal="center"/>
    </xf>
    <xf numFmtId="0" fontId="44" fillId="0" borderId="19" xfId="0" applyFont="1" applyFill="1" applyBorder="1" applyAlignment="1">
      <alignment horizontal="center"/>
    </xf>
    <xf numFmtId="9" fontId="44" fillId="0" borderId="19" xfId="65" applyFont="1" applyFill="1" applyBorder="1" applyAlignment="1">
      <alignment horizontal="center" vertical="center"/>
    </xf>
    <xf numFmtId="0" fontId="44" fillId="34" borderId="42" xfId="0" applyFont="1" applyFill="1" applyBorder="1" applyAlignment="1">
      <alignment/>
    </xf>
    <xf numFmtId="0" fontId="44" fillId="0" borderId="0" xfId="0" applyFont="1" applyFill="1" applyAlignment="1">
      <alignment vertical="center"/>
    </xf>
    <xf numFmtId="0" fontId="44" fillId="0" borderId="0" xfId="0" applyFont="1" applyFill="1" applyAlignment="1">
      <alignment/>
    </xf>
    <xf numFmtId="0" fontId="85" fillId="0" borderId="0" xfId="0" applyFont="1" applyFill="1" applyAlignment="1">
      <alignment horizontal="center"/>
    </xf>
    <xf numFmtId="0" fontId="85" fillId="0" borderId="0" xfId="0" applyFont="1" applyFill="1" applyAlignment="1">
      <alignment/>
    </xf>
    <xf numFmtId="0" fontId="85" fillId="0" borderId="19" xfId="0" applyFont="1" applyFill="1" applyBorder="1" applyAlignment="1" applyProtection="1">
      <alignment horizontal="center"/>
      <protection locked="0"/>
    </xf>
    <xf numFmtId="0" fontId="85" fillId="0" borderId="17" xfId="0" applyFont="1" applyFill="1" applyBorder="1" applyAlignment="1">
      <alignment/>
    </xf>
    <xf numFmtId="0" fontId="85" fillId="0" borderId="0" xfId="0" applyFont="1" applyFill="1" applyBorder="1" applyAlignment="1">
      <alignment/>
    </xf>
    <xf numFmtId="0" fontId="85" fillId="0" borderId="22" xfId="0" applyFont="1" applyFill="1" applyBorder="1" applyAlignment="1">
      <alignment/>
    </xf>
    <xf numFmtId="11" fontId="85" fillId="0" borderId="68" xfId="0" applyNumberFormat="1" applyFont="1" applyFill="1" applyBorder="1" applyAlignment="1">
      <alignment/>
    </xf>
    <xf numFmtId="11" fontId="85" fillId="0" borderId="0" xfId="0" applyNumberFormat="1" applyFont="1" applyFill="1" applyBorder="1" applyAlignment="1">
      <alignment/>
    </xf>
    <xf numFmtId="11" fontId="85" fillId="0" borderId="22" xfId="0" applyNumberFormat="1" applyFont="1" applyFill="1" applyBorder="1" applyAlignment="1">
      <alignment/>
    </xf>
    <xf numFmtId="0" fontId="44" fillId="0" borderId="0" xfId="0" applyFont="1" applyFill="1" applyAlignment="1">
      <alignment horizontal="center"/>
    </xf>
    <xf numFmtId="0" fontId="85" fillId="0" borderId="26" xfId="0" applyFont="1" applyFill="1" applyBorder="1" applyAlignment="1">
      <alignment/>
    </xf>
    <xf numFmtId="0" fontId="85" fillId="0" borderId="27" xfId="0" applyFont="1" applyFill="1" applyBorder="1" applyAlignment="1">
      <alignment/>
    </xf>
    <xf numFmtId="0" fontId="85" fillId="0" borderId="52" xfId="0" applyFont="1" applyFill="1" applyBorder="1" applyAlignment="1">
      <alignment/>
    </xf>
    <xf numFmtId="11" fontId="85" fillId="0" borderId="150" xfId="0" applyNumberFormat="1" applyFont="1" applyFill="1" applyBorder="1" applyAlignment="1">
      <alignment/>
    </xf>
    <xf numFmtId="11" fontId="85" fillId="0" borderId="27" xfId="0" applyNumberFormat="1" applyFont="1" applyFill="1" applyBorder="1" applyAlignment="1">
      <alignment/>
    </xf>
    <xf numFmtId="0" fontId="44" fillId="34" borderId="0" xfId="0" applyFont="1" applyFill="1" applyAlignment="1">
      <alignment horizontal="left" vertical="center"/>
    </xf>
    <xf numFmtId="0" fontId="44" fillId="0" borderId="19" xfId="0" applyFont="1" applyFill="1" applyBorder="1" applyAlignment="1">
      <alignment horizontal="center" vertical="center"/>
    </xf>
    <xf numFmtId="0" fontId="85" fillId="34" borderId="18" xfId="0" applyFont="1" applyFill="1" applyBorder="1" applyAlignment="1">
      <alignment horizontal="left" vertical="center"/>
    </xf>
    <xf numFmtId="0" fontId="85" fillId="34" borderId="0"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22" xfId="0" applyFont="1" applyFill="1" applyBorder="1" applyAlignment="1">
      <alignment horizontal="center" vertical="center"/>
    </xf>
    <xf numFmtId="175" fontId="44" fillId="34" borderId="0" xfId="0" applyNumberFormat="1" applyFont="1" applyFill="1" applyAlignment="1">
      <alignment vertical="center"/>
    </xf>
    <xf numFmtId="0" fontId="44" fillId="34" borderId="27" xfId="0" applyFont="1" applyFill="1" applyBorder="1" applyAlignment="1">
      <alignment horizontal="center" vertical="center"/>
    </xf>
    <xf numFmtId="0" fontId="44" fillId="34" borderId="151" xfId="0" applyFont="1" applyFill="1" applyBorder="1" applyAlignment="1">
      <alignment vertical="center"/>
    </xf>
    <xf numFmtId="0" fontId="44" fillId="0" borderId="37" xfId="0" applyFont="1" applyFill="1" applyBorder="1" applyAlignment="1">
      <alignment horizontal="center" vertical="center"/>
    </xf>
    <xf numFmtId="0" fontId="44" fillId="34" borderId="52" xfId="0" applyFont="1" applyFill="1" applyBorder="1" applyAlignment="1">
      <alignment horizontal="center" vertical="center"/>
    </xf>
    <xf numFmtId="0" fontId="44" fillId="34" borderId="18" xfId="0" applyFont="1" applyFill="1" applyBorder="1" applyAlignment="1">
      <alignment horizontal="center" vertical="center" wrapText="1"/>
    </xf>
    <xf numFmtId="0" fontId="44" fillId="34" borderId="27" xfId="0" applyFont="1" applyFill="1" applyBorder="1" applyAlignment="1">
      <alignment horizontal="center" vertical="center" wrapText="1"/>
    </xf>
    <xf numFmtId="0" fontId="44" fillId="34" borderId="65" xfId="0" applyFont="1" applyFill="1" applyBorder="1" applyAlignment="1">
      <alignment horizontal="center" vertical="center"/>
    </xf>
    <xf numFmtId="0" fontId="98" fillId="34" borderId="0" xfId="0" applyFont="1" applyFill="1" applyBorder="1" applyAlignment="1" applyProtection="1">
      <alignment horizontal="right" vertical="center"/>
      <protection locked="0"/>
    </xf>
    <xf numFmtId="0" fontId="44" fillId="34" borderId="152" xfId="0" applyFont="1" applyFill="1" applyBorder="1" applyAlignment="1">
      <alignment horizontal="center" vertical="center"/>
    </xf>
    <xf numFmtId="0" fontId="44" fillId="34" borderId="39" xfId="0" applyFont="1" applyFill="1" applyBorder="1" applyAlignment="1">
      <alignment horizontal="center" vertical="center"/>
    </xf>
    <xf numFmtId="0" fontId="44" fillId="34" borderId="153" xfId="0" applyFont="1" applyFill="1" applyBorder="1" applyAlignment="1">
      <alignment horizontal="center" vertical="center"/>
    </xf>
    <xf numFmtId="0" fontId="44" fillId="34" borderId="154" xfId="0" applyFont="1" applyFill="1" applyBorder="1" applyAlignment="1">
      <alignment vertical="center"/>
    </xf>
    <xf numFmtId="168" fontId="44" fillId="34" borderId="155" xfId="0" applyNumberFormat="1" applyFont="1" applyFill="1" applyBorder="1" applyAlignment="1">
      <alignment horizontal="right" vertical="center"/>
    </xf>
    <xf numFmtId="0" fontId="44" fillId="34" borderId="156" xfId="0" applyFont="1" applyFill="1" applyBorder="1" applyAlignment="1">
      <alignment horizontal="center" vertical="center"/>
    </xf>
    <xf numFmtId="168" fontId="44" fillId="34" borderId="157" xfId="0" applyNumberFormat="1" applyFont="1" applyFill="1" applyBorder="1" applyAlignment="1">
      <alignment horizontal="right" vertical="center"/>
    </xf>
    <xf numFmtId="0" fontId="44" fillId="34" borderId="158" xfId="0" applyFont="1" applyFill="1" applyBorder="1" applyAlignment="1">
      <alignment horizontal="center" vertical="center"/>
    </xf>
    <xf numFmtId="168" fontId="44" fillId="34" borderId="56" xfId="0" applyNumberFormat="1" applyFont="1" applyFill="1" applyBorder="1" applyAlignment="1">
      <alignment horizontal="right" vertical="center"/>
    </xf>
    <xf numFmtId="0" fontId="44" fillId="34" borderId="57" xfId="0" applyFont="1" applyFill="1" applyBorder="1" applyAlignment="1">
      <alignment horizontal="center" vertical="center"/>
    </xf>
    <xf numFmtId="0" fontId="44" fillId="34" borderId="157" xfId="0" applyFont="1" applyFill="1" applyBorder="1" applyAlignment="1">
      <alignment horizontal="right" vertical="center"/>
    </xf>
    <xf numFmtId="0" fontId="44" fillId="34" borderId="159" xfId="0" applyFont="1" applyFill="1" applyBorder="1" applyAlignment="1">
      <alignment vertical="center"/>
    </xf>
    <xf numFmtId="0" fontId="44" fillId="34" borderId="160" xfId="0" applyFont="1" applyFill="1" applyBorder="1" applyAlignment="1">
      <alignment horizontal="center" vertical="center"/>
    </xf>
    <xf numFmtId="168" fontId="44" fillId="34" borderId="161" xfId="0" applyNumberFormat="1" applyFont="1" applyFill="1" applyBorder="1" applyAlignment="1">
      <alignment horizontal="center" vertical="center"/>
    </xf>
    <xf numFmtId="168" fontId="44" fillId="34" borderId="156" xfId="0" applyNumberFormat="1" applyFont="1" applyFill="1" applyBorder="1" applyAlignment="1">
      <alignment horizontal="center" vertical="center"/>
    </xf>
    <xf numFmtId="168" fontId="44" fillId="34" borderId="162" xfId="0" applyNumberFormat="1" applyFont="1" applyFill="1" applyBorder="1" applyAlignment="1">
      <alignment horizontal="center" vertical="center"/>
    </xf>
    <xf numFmtId="0" fontId="44" fillId="34" borderId="163" xfId="0" applyFont="1" applyFill="1" applyBorder="1" applyAlignment="1">
      <alignment vertical="center" wrapText="1"/>
    </xf>
    <xf numFmtId="0" fontId="44" fillId="34" borderId="164" xfId="0" applyFont="1" applyFill="1" applyBorder="1" applyAlignment="1">
      <alignment horizontal="center" vertical="center"/>
    </xf>
    <xf numFmtId="168" fontId="44" fillId="34" borderId="165" xfId="0" applyNumberFormat="1" applyFont="1" applyFill="1" applyBorder="1" applyAlignment="1">
      <alignment horizontal="center" vertical="center"/>
    </xf>
    <xf numFmtId="168" fontId="44" fillId="34" borderId="166" xfId="0" applyNumberFormat="1" applyFont="1" applyFill="1" applyBorder="1" applyAlignment="1">
      <alignment horizontal="center" vertical="center"/>
    </xf>
    <xf numFmtId="168" fontId="44" fillId="34" borderId="167" xfId="0" applyNumberFormat="1" applyFont="1" applyFill="1" applyBorder="1" applyAlignment="1">
      <alignment horizontal="center" vertical="center"/>
    </xf>
    <xf numFmtId="168" fontId="44" fillId="34" borderId="49" xfId="0" applyNumberFormat="1" applyFont="1" applyFill="1" applyBorder="1" applyAlignment="1">
      <alignment horizontal="center" vertical="center"/>
    </xf>
    <xf numFmtId="0" fontId="44" fillId="34" borderId="154" xfId="0" applyFont="1" applyFill="1" applyBorder="1" applyAlignment="1">
      <alignment horizontal="center" vertical="center"/>
    </xf>
    <xf numFmtId="0" fontId="57" fillId="34" borderId="0" xfId="0" applyFont="1" applyFill="1" applyAlignment="1">
      <alignment vertical="center"/>
    </xf>
    <xf numFmtId="0" fontId="44" fillId="34" borderId="19" xfId="0" applyFont="1" applyFill="1" applyBorder="1" applyAlignment="1">
      <alignment horizontal="center" vertical="center"/>
    </xf>
    <xf numFmtId="2" fontId="44" fillId="34" borderId="19" xfId="0" applyNumberFormat="1" applyFont="1" applyFill="1" applyBorder="1" applyAlignment="1">
      <alignment horizontal="center" vertical="center"/>
    </xf>
    <xf numFmtId="170" fontId="137" fillId="0" borderId="168" xfId="0" applyNumberFormat="1" applyFont="1" applyFill="1" applyBorder="1" applyAlignment="1" applyProtection="1">
      <alignment horizontal="center" vertical="center"/>
      <protection locked="0"/>
    </xf>
    <xf numFmtId="170" fontId="137" fillId="0" borderId="93" xfId="0" applyNumberFormat="1" applyFont="1" applyFill="1" applyBorder="1" applyAlignment="1" applyProtection="1">
      <alignment horizontal="center" vertical="center"/>
      <protection locked="0"/>
    </xf>
    <xf numFmtId="170" fontId="137" fillId="0" borderId="169" xfId="0" applyNumberFormat="1" applyFont="1" applyFill="1" applyBorder="1" applyAlignment="1" applyProtection="1">
      <alignment horizontal="center" vertical="center"/>
      <protection locked="0"/>
    </xf>
    <xf numFmtId="170" fontId="137" fillId="0" borderId="170" xfId="0" applyNumberFormat="1" applyFont="1" applyFill="1" applyBorder="1" applyAlignment="1" applyProtection="1">
      <alignment horizontal="center" vertical="center"/>
      <protection locked="0"/>
    </xf>
    <xf numFmtId="170" fontId="137" fillId="0" borderId="31" xfId="0" applyNumberFormat="1" applyFont="1" applyFill="1" applyBorder="1" applyAlignment="1" applyProtection="1">
      <alignment horizontal="center" vertical="center"/>
      <protection locked="0"/>
    </xf>
    <xf numFmtId="170" fontId="136" fillId="0" borderId="32" xfId="0" applyNumberFormat="1" applyFont="1" applyFill="1" applyBorder="1" applyAlignment="1" applyProtection="1">
      <alignment horizontal="center" vertical="center"/>
      <protection locked="0"/>
    </xf>
    <xf numFmtId="170" fontId="137" fillId="0" borderId="15" xfId="0" applyNumberFormat="1" applyFont="1" applyFill="1" applyBorder="1" applyAlignment="1" applyProtection="1">
      <alignment horizontal="center" vertical="center"/>
      <protection locked="0"/>
    </xf>
    <xf numFmtId="170" fontId="137" fillId="0" borderId="14" xfId="0" applyNumberFormat="1" applyFont="1" applyFill="1" applyBorder="1" applyAlignment="1" applyProtection="1">
      <alignment horizontal="center" vertical="center"/>
      <protection locked="0"/>
    </xf>
    <xf numFmtId="170" fontId="136" fillId="0" borderId="33" xfId="0" applyNumberFormat="1" applyFont="1" applyFill="1" applyBorder="1" applyAlignment="1" applyProtection="1">
      <alignment horizontal="center" vertical="center"/>
      <protection locked="0"/>
    </xf>
    <xf numFmtId="0" fontId="137" fillId="0" borderId="171" xfId="0" applyFont="1" applyFill="1" applyBorder="1" applyAlignment="1" applyProtection="1">
      <alignment horizontal="center" vertical="center"/>
      <protection locked="0"/>
    </xf>
    <xf numFmtId="0" fontId="137" fillId="0" borderId="102" xfId="0" applyFont="1" applyFill="1" applyBorder="1" applyAlignment="1" applyProtection="1">
      <alignment horizontal="center" vertical="center"/>
      <protection locked="0"/>
    </xf>
    <xf numFmtId="0" fontId="137" fillId="0" borderId="103" xfId="0" applyFont="1" applyFill="1" applyBorder="1" applyAlignment="1" applyProtection="1">
      <alignment horizontal="center" vertical="center"/>
      <protection locked="0"/>
    </xf>
    <xf numFmtId="168" fontId="52" fillId="34" borderId="78" xfId="0" applyNumberFormat="1" applyFont="1" applyFill="1" applyBorder="1" applyAlignment="1">
      <alignment horizontal="center"/>
    </xf>
    <xf numFmtId="168" fontId="52" fillId="34" borderId="79" xfId="0" applyNumberFormat="1" applyFont="1" applyFill="1" applyBorder="1" applyAlignment="1">
      <alignment horizontal="center"/>
    </xf>
    <xf numFmtId="168" fontId="52" fillId="34" borderId="80" xfId="0" applyNumberFormat="1" applyFont="1" applyFill="1" applyBorder="1" applyAlignment="1">
      <alignment horizontal="center"/>
    </xf>
    <xf numFmtId="168" fontId="52" fillId="34" borderId="15" xfId="0" applyNumberFormat="1" applyFont="1" applyFill="1" applyBorder="1" applyAlignment="1">
      <alignment horizontal="center"/>
    </xf>
    <xf numFmtId="168" fontId="52" fillId="34" borderId="14" xfId="0" applyNumberFormat="1" applyFont="1" applyFill="1" applyBorder="1" applyAlignment="1">
      <alignment horizontal="center"/>
    </xf>
    <xf numFmtId="168" fontId="52" fillId="34" borderId="33" xfId="0" applyNumberFormat="1" applyFont="1" applyFill="1" applyBorder="1" applyAlignment="1">
      <alignment horizontal="center"/>
    </xf>
    <xf numFmtId="168" fontId="52" fillId="34" borderId="128" xfId="0" applyNumberFormat="1" applyFont="1" applyFill="1" applyBorder="1" applyAlignment="1">
      <alignment horizontal="center"/>
    </xf>
    <xf numFmtId="168" fontId="52" fillId="34" borderId="129" xfId="0" applyNumberFormat="1" applyFont="1" applyFill="1" applyBorder="1" applyAlignment="1">
      <alignment horizontal="center"/>
    </xf>
    <xf numFmtId="168" fontId="52" fillId="34" borderId="107" xfId="0" applyNumberFormat="1" applyFont="1" applyFill="1" applyBorder="1" applyAlignment="1">
      <alignment horizontal="center"/>
    </xf>
    <xf numFmtId="166" fontId="56" fillId="34" borderId="131" xfId="0" applyNumberFormat="1" applyFont="1" applyFill="1" applyBorder="1" applyAlignment="1">
      <alignment horizontal="center"/>
    </xf>
    <xf numFmtId="166" fontId="56" fillId="34" borderId="132" xfId="0" applyNumberFormat="1" applyFont="1" applyFill="1" applyBorder="1" applyAlignment="1">
      <alignment horizontal="center"/>
    </xf>
    <xf numFmtId="166" fontId="56" fillId="34" borderId="109" xfId="0" applyNumberFormat="1" applyFont="1" applyFill="1" applyBorder="1" applyAlignment="1">
      <alignment horizontal="center"/>
    </xf>
    <xf numFmtId="168" fontId="53" fillId="0" borderId="90" xfId="0" applyNumberFormat="1" applyFont="1" applyFill="1" applyBorder="1" applyAlignment="1">
      <alignment horizontal="center"/>
    </xf>
    <xf numFmtId="168" fontId="44" fillId="0" borderId="90" xfId="0" applyNumberFormat="1" applyFont="1" applyFill="1" applyBorder="1" applyAlignment="1" applyProtection="1">
      <alignment horizontal="center"/>
      <protection locked="0"/>
    </xf>
    <xf numFmtId="168" fontId="111" fillId="34" borderId="172" xfId="0" applyNumberFormat="1" applyFont="1" applyFill="1" applyBorder="1" applyAlignment="1">
      <alignment horizontal="center"/>
    </xf>
    <xf numFmtId="168" fontId="111" fillId="34" borderId="34" xfId="0" applyNumberFormat="1" applyFont="1" applyFill="1" applyBorder="1" applyAlignment="1">
      <alignment horizontal="center"/>
    </xf>
    <xf numFmtId="168" fontId="111" fillId="34" borderId="173" xfId="0" applyNumberFormat="1" applyFont="1" applyFill="1" applyBorder="1" applyAlignment="1">
      <alignment horizontal="center"/>
    </xf>
    <xf numFmtId="168" fontId="111" fillId="34" borderId="89" xfId="0" applyNumberFormat="1" applyFont="1" applyFill="1" applyBorder="1" applyAlignment="1">
      <alignment horizontal="center"/>
    </xf>
    <xf numFmtId="168" fontId="111" fillId="34" borderId="36" xfId="0" applyNumberFormat="1" applyFont="1" applyFill="1" applyBorder="1" applyAlignment="1">
      <alignment horizontal="center"/>
    </xf>
    <xf numFmtId="168" fontId="111" fillId="34" borderId="166" xfId="0" applyNumberFormat="1" applyFont="1" applyFill="1" applyBorder="1" applyAlignment="1">
      <alignment horizontal="center"/>
    </xf>
    <xf numFmtId="168" fontId="111" fillId="34" borderId="174" xfId="0" applyNumberFormat="1" applyFont="1" applyFill="1" applyBorder="1" applyAlignment="1">
      <alignment horizontal="center"/>
    </xf>
    <xf numFmtId="168" fontId="111" fillId="34" borderId="175" xfId="0" applyNumberFormat="1" applyFont="1" applyFill="1" applyBorder="1" applyAlignment="1">
      <alignment horizontal="center"/>
    </xf>
    <xf numFmtId="168" fontId="111" fillId="34" borderId="176" xfId="0" applyNumberFormat="1" applyFont="1" applyFill="1" applyBorder="1" applyAlignment="1">
      <alignment horizontal="center"/>
    </xf>
    <xf numFmtId="166" fontId="111" fillId="34" borderId="0" xfId="0" applyNumberFormat="1" applyFont="1" applyFill="1" applyBorder="1" applyAlignment="1">
      <alignment horizontal="center"/>
    </xf>
    <xf numFmtId="166" fontId="111" fillId="34" borderId="49" xfId="0" applyNumberFormat="1" applyFont="1" applyFill="1" applyBorder="1" applyAlignment="1">
      <alignment horizontal="center"/>
    </xf>
    <xf numFmtId="178" fontId="111" fillId="34" borderId="175" xfId="0" applyNumberFormat="1" applyFont="1" applyFill="1" applyBorder="1" applyAlignment="1">
      <alignment horizontal="center"/>
    </xf>
    <xf numFmtId="178" fontId="111" fillId="34" borderId="93" xfId="0" applyNumberFormat="1" applyFont="1" applyFill="1" applyBorder="1" applyAlignment="1">
      <alignment horizontal="center"/>
    </xf>
    <xf numFmtId="178" fontId="111" fillId="34" borderId="169" xfId="0" applyNumberFormat="1" applyFont="1" applyFill="1" applyBorder="1" applyAlignment="1">
      <alignment horizontal="center"/>
    </xf>
    <xf numFmtId="168" fontId="85" fillId="34" borderId="177" xfId="0" applyNumberFormat="1" applyFont="1" applyFill="1" applyBorder="1" applyAlignment="1">
      <alignment horizontal="center"/>
    </xf>
    <xf numFmtId="168" fontId="85" fillId="34" borderId="178" xfId="0" applyNumberFormat="1" applyFont="1" applyFill="1" applyBorder="1" applyAlignment="1">
      <alignment horizontal="center"/>
    </xf>
    <xf numFmtId="168" fontId="85" fillId="34" borderId="103" xfId="0" applyNumberFormat="1" applyFont="1" applyFill="1" applyBorder="1" applyAlignment="1">
      <alignment horizontal="center"/>
    </xf>
    <xf numFmtId="2" fontId="95" fillId="34" borderId="0" xfId="0" applyNumberFormat="1" applyFont="1" applyFill="1" applyAlignment="1">
      <alignment/>
    </xf>
    <xf numFmtId="9" fontId="44" fillId="36" borderId="0" xfId="0" applyNumberFormat="1" applyFont="1" applyFill="1" applyAlignment="1" applyProtection="1">
      <alignment horizontal="center" vertical="center"/>
      <protection locked="0"/>
    </xf>
    <xf numFmtId="0" fontId="44" fillId="36" borderId="179" xfId="0" applyFont="1" applyFill="1" applyBorder="1" applyAlignment="1" applyProtection="1">
      <alignment horizontal="right" vertical="center"/>
      <protection locked="0"/>
    </xf>
    <xf numFmtId="0" fontId="44" fillId="36" borderId="180" xfId="0" applyFont="1" applyFill="1" applyBorder="1" applyAlignment="1" applyProtection="1">
      <alignment horizontal="right" vertical="center"/>
      <protection locked="0"/>
    </xf>
    <xf numFmtId="0" fontId="44" fillId="36" borderId="181" xfId="0" applyFont="1" applyFill="1" applyBorder="1" applyAlignment="1" applyProtection="1">
      <alignment horizontal="center" vertical="center"/>
      <protection locked="0"/>
    </xf>
    <xf numFmtId="9" fontId="44" fillId="36" borderId="182" xfId="0" applyNumberFormat="1" applyFont="1" applyFill="1" applyBorder="1" applyAlignment="1" applyProtection="1">
      <alignment horizontal="center" vertical="center"/>
      <protection locked="0"/>
    </xf>
    <xf numFmtId="9" fontId="44" fillId="36" borderId="183" xfId="0" applyNumberFormat="1" applyFont="1" applyFill="1" applyBorder="1" applyAlignment="1" applyProtection="1">
      <alignment horizontal="center" vertical="center"/>
      <protection locked="0"/>
    </xf>
    <xf numFmtId="9" fontId="44" fillId="36" borderId="184" xfId="0" applyNumberFormat="1" applyFont="1" applyFill="1" applyBorder="1" applyAlignment="1" applyProtection="1">
      <alignment horizontal="center" vertical="center"/>
      <protection locked="0"/>
    </xf>
    <xf numFmtId="0" fontId="44" fillId="36" borderId="185" xfId="0" applyFont="1" applyFill="1" applyBorder="1" applyAlignment="1" applyProtection="1">
      <alignment horizontal="center" vertical="center"/>
      <protection locked="0"/>
    </xf>
    <xf numFmtId="0" fontId="44" fillId="36" borderId="186" xfId="0" applyFont="1" applyFill="1" applyBorder="1" applyAlignment="1" applyProtection="1">
      <alignment horizontal="center" vertical="center"/>
      <protection locked="0"/>
    </xf>
    <xf numFmtId="2" fontId="44" fillId="36" borderId="187" xfId="0" applyNumberFormat="1" applyFont="1" applyFill="1" applyBorder="1" applyAlignment="1" applyProtection="1">
      <alignment horizontal="center" vertical="center"/>
      <protection locked="0"/>
    </xf>
    <xf numFmtId="0" fontId="44" fillId="34" borderId="54" xfId="0" applyFont="1" applyFill="1" applyBorder="1" applyAlignment="1">
      <alignment horizontal="centerContinuous" vertical="center"/>
    </xf>
    <xf numFmtId="0" fontId="44" fillId="34" borderId="54" xfId="0" applyFont="1" applyFill="1" applyBorder="1" applyAlignment="1">
      <alignment horizontal="right" vertical="center"/>
    </xf>
    <xf numFmtId="0" fontId="44" fillId="34" borderId="67" xfId="0" applyFont="1" applyFill="1" applyBorder="1" applyAlignment="1">
      <alignment horizontal="centerContinuous" vertical="justify"/>
    </xf>
    <xf numFmtId="0" fontId="44" fillId="34" borderId="188" xfId="0" applyFont="1" applyFill="1" applyBorder="1" applyAlignment="1">
      <alignment/>
    </xf>
    <xf numFmtId="174" fontId="52" fillId="34" borderId="189" xfId="0" applyNumberFormat="1" applyFont="1" applyFill="1" applyBorder="1" applyAlignment="1">
      <alignment horizontal="center"/>
    </xf>
    <xf numFmtId="174" fontId="52" fillId="34" borderId="190" xfId="0" applyNumberFormat="1" applyFont="1" applyFill="1" applyBorder="1" applyAlignment="1">
      <alignment horizontal="center"/>
    </xf>
    <xf numFmtId="174" fontId="52" fillId="34" borderId="191" xfId="0" applyNumberFormat="1" applyFont="1" applyFill="1" applyBorder="1" applyAlignment="1">
      <alignment horizontal="center"/>
    </xf>
    <xf numFmtId="0" fontId="44" fillId="34" borderId="0" xfId="0" applyFont="1" applyFill="1" applyAlignment="1">
      <alignment horizontal="left"/>
    </xf>
    <xf numFmtId="0" fontId="52" fillId="34" borderId="72" xfId="0" applyFont="1" applyFill="1" applyBorder="1" applyAlignment="1">
      <alignment horizontal="right"/>
    </xf>
    <xf numFmtId="0" fontId="85" fillId="34" borderId="192" xfId="0" applyFont="1" applyFill="1" applyBorder="1" applyAlignment="1">
      <alignment horizontal="left" vertical="center"/>
    </xf>
    <xf numFmtId="168" fontId="85" fillId="34" borderId="49" xfId="0" applyNumberFormat="1" applyFont="1" applyFill="1" applyBorder="1" applyAlignment="1">
      <alignment horizontal="right" vertical="center"/>
    </xf>
    <xf numFmtId="168" fontId="85" fillId="34" borderId="193" xfId="0" applyNumberFormat="1" applyFont="1" applyFill="1" applyBorder="1" applyAlignment="1">
      <alignment horizontal="center" vertical="center"/>
    </xf>
    <xf numFmtId="168" fontId="85" fillId="34" borderId="75" xfId="0" applyNumberFormat="1" applyFont="1" applyFill="1" applyBorder="1" applyAlignment="1">
      <alignment horizontal="center" vertical="center"/>
    </xf>
    <xf numFmtId="168" fontId="85" fillId="34" borderId="194" xfId="0" applyNumberFormat="1" applyFont="1" applyFill="1" applyBorder="1" applyAlignment="1">
      <alignment horizontal="center" vertical="center"/>
    </xf>
    <xf numFmtId="168" fontId="85" fillId="34" borderId="195" xfId="0" applyNumberFormat="1" applyFont="1" applyFill="1" applyBorder="1" applyAlignment="1">
      <alignment horizontal="center" vertical="center"/>
    </xf>
    <xf numFmtId="168" fontId="111" fillId="34" borderId="85" xfId="0" applyNumberFormat="1" applyFont="1" applyFill="1" applyBorder="1" applyAlignment="1">
      <alignment horizontal="center" vertical="center"/>
    </xf>
    <xf numFmtId="168" fontId="111" fillId="34" borderId="79" xfId="0" applyNumberFormat="1" applyFont="1" applyFill="1" applyBorder="1" applyAlignment="1">
      <alignment horizontal="center" vertical="center"/>
    </xf>
    <xf numFmtId="168" fontId="111" fillId="34" borderId="127" xfId="0" applyNumberFormat="1" applyFont="1" applyFill="1" applyBorder="1" applyAlignment="1">
      <alignment horizontal="center" vertical="center"/>
    </xf>
    <xf numFmtId="168" fontId="85" fillId="34" borderId="196" xfId="0" applyNumberFormat="1" applyFont="1" applyFill="1" applyBorder="1" applyAlignment="1">
      <alignment horizontal="center" vertical="center"/>
    </xf>
    <xf numFmtId="168" fontId="111" fillId="34" borderId="89" xfId="0" applyNumberFormat="1" applyFont="1" applyFill="1" applyBorder="1" applyAlignment="1">
      <alignment horizontal="center" vertical="center"/>
    </xf>
    <xf numFmtId="168" fontId="111" fillId="34" borderId="14" xfId="0" applyNumberFormat="1" applyFont="1" applyFill="1" applyBorder="1" applyAlignment="1">
      <alignment horizontal="center" vertical="center"/>
    </xf>
    <xf numFmtId="168" fontId="111" fillId="34" borderId="146" xfId="0" applyNumberFormat="1" applyFont="1" applyFill="1" applyBorder="1" applyAlignment="1">
      <alignment horizontal="center" vertical="center"/>
    </xf>
    <xf numFmtId="168" fontId="85" fillId="34" borderId="197" xfId="0" applyNumberFormat="1" applyFont="1" applyFill="1" applyBorder="1" applyAlignment="1">
      <alignment horizontal="center" vertical="center"/>
    </xf>
    <xf numFmtId="168" fontId="111" fillId="34" borderId="198" xfId="0" applyNumberFormat="1" applyFont="1" applyFill="1" applyBorder="1" applyAlignment="1">
      <alignment horizontal="center" vertical="center"/>
    </xf>
    <xf numFmtId="168" fontId="111" fillId="34" borderId="129" xfId="0" applyNumberFormat="1" applyFont="1" applyFill="1" applyBorder="1" applyAlignment="1">
      <alignment horizontal="center" vertical="center"/>
    </xf>
    <xf numFmtId="168" fontId="111" fillId="34" borderId="130" xfId="0" applyNumberFormat="1" applyFont="1" applyFill="1" applyBorder="1" applyAlignment="1">
      <alignment horizontal="center" vertical="center"/>
    </xf>
    <xf numFmtId="168" fontId="44" fillId="34" borderId="38" xfId="62" applyNumberFormat="1" applyFont="1" applyFill="1" applyBorder="1" applyAlignment="1" applyProtection="1">
      <alignment horizontal="center"/>
      <protection/>
    </xf>
    <xf numFmtId="0" fontId="44" fillId="34" borderId="199" xfId="59" applyFont="1" applyFill="1" applyBorder="1" applyAlignment="1">
      <alignment horizontal="center" vertical="center"/>
      <protection/>
    </xf>
    <xf numFmtId="0" fontId="44" fillId="34" borderId="200" xfId="59" applyFont="1" applyFill="1" applyBorder="1" applyAlignment="1">
      <alignment horizontal="center" vertical="center"/>
      <protection/>
    </xf>
    <xf numFmtId="0" fontId="128" fillId="34" borderId="201" xfId="59" applyFont="1" applyFill="1" applyBorder="1" applyAlignment="1">
      <alignment horizontal="center" vertical="center"/>
      <protection/>
    </xf>
    <xf numFmtId="0" fontId="52" fillId="34" borderId="201" xfId="59" applyFont="1" applyFill="1" applyBorder="1" applyAlignment="1">
      <alignment horizontal="center" vertical="center"/>
      <protection/>
    </xf>
    <xf numFmtId="168" fontId="52" fillId="34" borderId="201" xfId="59" applyNumberFormat="1" applyFont="1" applyFill="1" applyBorder="1" applyAlignment="1">
      <alignment horizontal="center" vertical="center"/>
      <protection/>
    </xf>
    <xf numFmtId="169" fontId="52" fillId="34" borderId="202" xfId="65" applyNumberFormat="1" applyFont="1" applyFill="1" applyBorder="1" applyAlignment="1">
      <alignment horizontal="center" vertical="center" wrapText="1"/>
    </xf>
    <xf numFmtId="0" fontId="85" fillId="34" borderId="0" xfId="59" applyFont="1" applyFill="1" applyBorder="1" applyAlignment="1">
      <alignment horizontal="center" vertical="center"/>
      <protection/>
    </xf>
    <xf numFmtId="0" fontId="44" fillId="36" borderId="203" xfId="59" applyFont="1" applyFill="1" applyBorder="1" applyAlignment="1">
      <alignment vertical="center"/>
      <protection/>
    </xf>
    <xf numFmtId="0" fontId="44" fillId="0" borderId="0" xfId="59" applyFont="1" applyFill="1" applyAlignment="1">
      <alignment vertical="center"/>
      <protection/>
    </xf>
    <xf numFmtId="0" fontId="44" fillId="36" borderId="19" xfId="59" applyFont="1" applyFill="1" applyBorder="1" applyAlignment="1">
      <alignment vertical="center"/>
      <protection/>
    </xf>
    <xf numFmtId="0" fontId="44" fillId="36" borderId="204" xfId="59" applyFont="1" applyFill="1" applyBorder="1" applyAlignment="1">
      <alignment vertical="center"/>
      <protection/>
    </xf>
    <xf numFmtId="0" fontId="44" fillId="36" borderId="205" xfId="59" applyFont="1" applyFill="1" applyBorder="1" applyAlignment="1">
      <alignment vertical="center"/>
      <protection/>
    </xf>
    <xf numFmtId="0" fontId="44" fillId="36" borderId="206" xfId="59" applyFont="1" applyFill="1" applyBorder="1" applyAlignment="1">
      <alignment vertical="center"/>
      <protection/>
    </xf>
    <xf numFmtId="0" fontId="44" fillId="36" borderId="207" xfId="59" applyFont="1" applyFill="1" applyBorder="1" applyAlignment="1">
      <alignment vertical="center"/>
      <protection/>
    </xf>
    <xf numFmtId="0" fontId="44" fillId="36" borderId="37" xfId="59" applyFont="1" applyFill="1" applyBorder="1" applyAlignment="1">
      <alignment vertical="center"/>
      <protection/>
    </xf>
    <xf numFmtId="0" fontId="44" fillId="36" borderId="208" xfId="59" applyFont="1" applyFill="1" applyBorder="1" applyAlignment="1">
      <alignment vertical="center"/>
      <protection/>
    </xf>
    <xf numFmtId="0" fontId="44" fillId="36" borderId="209" xfId="59" applyFont="1" applyFill="1" applyBorder="1" applyAlignment="1">
      <alignment vertical="center"/>
      <protection/>
    </xf>
    <xf numFmtId="0" fontId="44" fillId="36" borderId="38" xfId="59" applyFont="1" applyFill="1" applyBorder="1" applyAlignment="1">
      <alignment vertical="center"/>
      <protection/>
    </xf>
    <xf numFmtId="0" fontId="128" fillId="34" borderId="210" xfId="59" applyFont="1" applyFill="1" applyBorder="1" applyAlignment="1">
      <alignment horizontal="center" vertical="center"/>
      <protection/>
    </xf>
    <xf numFmtId="0" fontId="52" fillId="34" borderId="210" xfId="59" applyFont="1" applyFill="1" applyBorder="1" applyAlignment="1">
      <alignment horizontal="center" vertical="center"/>
      <protection/>
    </xf>
    <xf numFmtId="168" fontId="52" fillId="34" borderId="210" xfId="59" applyNumberFormat="1" applyFont="1" applyFill="1" applyBorder="1" applyAlignment="1">
      <alignment horizontal="center" vertical="center"/>
      <protection/>
    </xf>
    <xf numFmtId="169" fontId="52" fillId="34" borderId="211" xfId="65" applyNumberFormat="1" applyFont="1" applyFill="1" applyBorder="1" applyAlignment="1">
      <alignment horizontal="center" vertical="center" wrapText="1"/>
    </xf>
    <xf numFmtId="0" fontId="128" fillId="34" borderId="212" xfId="59" applyFont="1" applyFill="1" applyBorder="1" applyAlignment="1">
      <alignment horizontal="center" vertical="center"/>
      <protection/>
    </xf>
    <xf numFmtId="0" fontId="52" fillId="34" borderId="212" xfId="59" applyFont="1" applyFill="1" applyBorder="1" applyAlignment="1">
      <alignment horizontal="center" vertical="center"/>
      <protection/>
    </xf>
    <xf numFmtId="168" fontId="52" fillId="34" borderId="212" xfId="59" applyNumberFormat="1" applyFont="1" applyFill="1" applyBorder="1" applyAlignment="1">
      <alignment horizontal="center" vertical="center"/>
      <protection/>
    </xf>
    <xf numFmtId="0" fontId="128" fillId="0" borderId="22" xfId="59" applyFont="1" applyFill="1" applyBorder="1" applyAlignment="1">
      <alignment vertical="center"/>
      <protection/>
    </xf>
    <xf numFmtId="0" fontId="44" fillId="36" borderId="16" xfId="59" applyFont="1" applyFill="1" applyBorder="1" applyAlignment="1">
      <alignment horizontal="center" vertical="center"/>
      <protection/>
    </xf>
    <xf numFmtId="0" fontId="44" fillId="36" borderId="111" xfId="59" applyFont="1" applyFill="1" applyBorder="1" applyAlignment="1">
      <alignment horizontal="center" vertical="center"/>
      <protection/>
    </xf>
    <xf numFmtId="0" fontId="44" fillId="36" borderId="213" xfId="59" applyFont="1" applyFill="1" applyBorder="1" applyAlignment="1">
      <alignment horizontal="center" vertical="center"/>
      <protection/>
    </xf>
    <xf numFmtId="0" fontId="128" fillId="0" borderId="214" xfId="59" applyFont="1" applyFill="1" applyBorder="1" applyAlignment="1">
      <alignment vertical="center"/>
      <protection/>
    </xf>
    <xf numFmtId="0" fontId="128" fillId="0" borderId="215" xfId="59" applyFont="1" applyFill="1" applyBorder="1" applyAlignment="1">
      <alignment vertical="center"/>
      <protection/>
    </xf>
    <xf numFmtId="0" fontId="128" fillId="0" borderId="50" xfId="59" applyFont="1" applyFill="1" applyBorder="1" applyAlignment="1">
      <alignment vertical="center"/>
      <protection/>
    </xf>
    <xf numFmtId="0" fontId="128" fillId="0" borderId="47" xfId="59" applyFont="1" applyFill="1" applyBorder="1" applyAlignment="1">
      <alignment vertical="center"/>
      <protection/>
    </xf>
    <xf numFmtId="169" fontId="52" fillId="34" borderId="216" xfId="65" applyNumberFormat="1" applyFont="1" applyFill="1" applyBorder="1" applyAlignment="1">
      <alignment horizontal="center" vertical="center" wrapText="1"/>
    </xf>
    <xf numFmtId="0" fontId="128" fillId="34" borderId="217" xfId="59" applyFont="1" applyFill="1" applyBorder="1" applyAlignment="1">
      <alignment horizontal="center" vertical="center"/>
      <protection/>
    </xf>
    <xf numFmtId="0" fontId="52" fillId="34" borderId="217" xfId="59" applyFont="1" applyFill="1" applyBorder="1" applyAlignment="1">
      <alignment horizontal="center" vertical="center"/>
      <protection/>
    </xf>
    <xf numFmtId="168" fontId="52" fillId="34" borderId="217" xfId="59" applyNumberFormat="1" applyFont="1" applyFill="1" applyBorder="1" applyAlignment="1">
      <alignment horizontal="center" vertical="center"/>
      <protection/>
    </xf>
    <xf numFmtId="169" fontId="52" fillId="34" borderId="218" xfId="65" applyNumberFormat="1" applyFont="1" applyFill="1" applyBorder="1" applyAlignment="1">
      <alignment horizontal="center" vertical="center" wrapText="1"/>
    </xf>
    <xf numFmtId="0" fontId="44" fillId="34" borderId="120" xfId="59" applyFont="1" applyFill="1" applyBorder="1" applyAlignment="1">
      <alignment horizontal="center" vertical="center"/>
      <protection/>
    </xf>
    <xf numFmtId="166" fontId="52" fillId="34" borderId="116" xfId="59" applyNumberFormat="1" applyFont="1" applyFill="1" applyBorder="1" applyAlignment="1">
      <alignment horizontal="center" vertical="center" wrapText="1"/>
      <protection/>
    </xf>
    <xf numFmtId="166" fontId="52" fillId="34" borderId="118" xfId="59" applyNumberFormat="1" applyFont="1" applyFill="1" applyBorder="1" applyAlignment="1">
      <alignment horizontal="center" vertical="center" wrapText="1"/>
      <protection/>
    </xf>
    <xf numFmtId="166" fontId="52" fillId="34" borderId="201" xfId="59" applyNumberFormat="1" applyFont="1" applyFill="1" applyBorder="1" applyAlignment="1">
      <alignment horizontal="center" vertical="center" wrapText="1"/>
      <protection/>
    </xf>
    <xf numFmtId="166" fontId="52" fillId="34" borderId="210" xfId="59" applyNumberFormat="1" applyFont="1" applyFill="1" applyBorder="1" applyAlignment="1">
      <alignment horizontal="center" vertical="center" wrapText="1"/>
      <protection/>
    </xf>
    <xf numFmtId="166" fontId="52" fillId="34" borderId="119" xfId="59" applyNumberFormat="1" applyFont="1" applyFill="1" applyBorder="1" applyAlignment="1">
      <alignment horizontal="center" vertical="center" wrapText="1"/>
      <protection/>
    </xf>
    <xf numFmtId="166" fontId="52" fillId="34" borderId="217" xfId="59" applyNumberFormat="1" applyFont="1" applyFill="1" applyBorder="1" applyAlignment="1">
      <alignment horizontal="center" vertical="center" wrapText="1"/>
      <protection/>
    </xf>
    <xf numFmtId="166" fontId="52" fillId="34" borderId="212" xfId="59" applyNumberFormat="1" applyFont="1" applyFill="1" applyBorder="1" applyAlignment="1">
      <alignment horizontal="center" vertical="center" wrapText="1"/>
      <protection/>
    </xf>
    <xf numFmtId="166" fontId="130" fillId="34" borderId="124" xfId="59" applyNumberFormat="1" applyFont="1" applyFill="1" applyBorder="1" applyAlignment="1">
      <alignment horizontal="center" vertical="center"/>
      <protection/>
    </xf>
    <xf numFmtId="0" fontId="57" fillId="34" borderId="0" xfId="62" applyFont="1" applyFill="1" applyBorder="1">
      <alignment/>
      <protection/>
    </xf>
    <xf numFmtId="0" fontId="108" fillId="34" borderId="0" xfId="0" applyFont="1" applyFill="1" applyAlignment="1">
      <alignment vertical="center"/>
    </xf>
    <xf numFmtId="0" fontId="44" fillId="0" borderId="19" xfId="0" applyFont="1" applyFill="1" applyBorder="1" applyAlignment="1">
      <alignment vertical="center"/>
    </xf>
    <xf numFmtId="0" fontId="44" fillId="0" borderId="0" xfId="0" applyFont="1" applyFill="1" applyBorder="1" applyAlignment="1">
      <alignment/>
    </xf>
    <xf numFmtId="0" fontId="7" fillId="0" borderId="0" xfId="58" applyFont="1" applyFill="1">
      <alignment/>
      <protection/>
    </xf>
    <xf numFmtId="0" fontId="7" fillId="0" borderId="0" xfId="59" applyFill="1" applyAlignment="1" applyProtection="1">
      <alignment horizontal="center"/>
      <protection/>
    </xf>
    <xf numFmtId="0" fontId="7" fillId="0" borderId="0" xfId="59" applyFill="1" applyBorder="1" applyAlignment="1" applyProtection="1">
      <alignment horizontal="center"/>
      <protection/>
    </xf>
    <xf numFmtId="0" fontId="7" fillId="0" borderId="0" xfId="59" applyFill="1" applyAlignment="1">
      <alignment horizontal="center"/>
      <protection/>
    </xf>
    <xf numFmtId="0" fontId="7" fillId="0" borderId="0" xfId="59" applyFill="1" applyAlignment="1">
      <alignment horizontal="center" vertical="center"/>
      <protection/>
    </xf>
    <xf numFmtId="0" fontId="44" fillId="0" borderId="0" xfId="59" applyFont="1" applyFill="1" applyAlignment="1">
      <alignment horizontal="center" vertical="center" wrapText="1"/>
      <protection/>
    </xf>
    <xf numFmtId="0" fontId="48" fillId="0" borderId="0" xfId="59" applyFont="1" applyFill="1" applyAlignment="1">
      <alignment horizontal="center" wrapText="1"/>
      <protection/>
    </xf>
    <xf numFmtId="0" fontId="44" fillId="0" borderId="87" xfId="59" applyFont="1" applyFill="1" applyBorder="1" applyAlignment="1" applyProtection="1">
      <alignment horizontal="center" wrapText="1"/>
      <protection/>
    </xf>
    <xf numFmtId="0" fontId="44" fillId="0" borderId="0" xfId="59" applyFont="1" applyFill="1" applyBorder="1" applyAlignment="1">
      <alignment horizontal="center" wrapText="1"/>
      <protection/>
    </xf>
    <xf numFmtId="0" fontId="44" fillId="0" borderId="29" xfId="59" applyFont="1" applyFill="1" applyBorder="1" applyAlignment="1" applyProtection="1">
      <alignment horizontal="center" wrapText="1"/>
      <protection/>
    </xf>
    <xf numFmtId="11" fontId="44" fillId="0" borderId="29" xfId="59" applyNumberFormat="1" applyFont="1" applyFill="1" applyBorder="1" applyAlignment="1" applyProtection="1">
      <alignment horizontal="center" wrapText="1"/>
      <protection/>
    </xf>
    <xf numFmtId="0" fontId="44" fillId="0" borderId="0" xfId="59" applyFont="1" applyFill="1" applyAlignment="1">
      <alignment horizontal="center" wrapText="1"/>
      <protection/>
    </xf>
    <xf numFmtId="0" fontId="44" fillId="0" borderId="19" xfId="59" applyFont="1" applyFill="1" applyBorder="1" applyAlignment="1" applyProtection="1">
      <alignment horizontal="center" wrapText="1"/>
      <protection/>
    </xf>
    <xf numFmtId="0" fontId="44" fillId="0" borderId="31" xfId="59" applyFont="1" applyFill="1" applyBorder="1" applyAlignment="1" applyProtection="1">
      <alignment horizontal="center" wrapText="1"/>
      <protection/>
    </xf>
    <xf numFmtId="11" fontId="44" fillId="0" borderId="31" xfId="59" applyNumberFormat="1" applyFont="1" applyFill="1" applyBorder="1" applyAlignment="1" applyProtection="1">
      <alignment horizontal="center" wrapText="1"/>
      <protection/>
    </xf>
    <xf numFmtId="0" fontId="44" fillId="0" borderId="14" xfId="59" applyFont="1" applyFill="1" applyBorder="1" applyAlignment="1" applyProtection="1">
      <alignment horizontal="center" wrapText="1"/>
      <protection/>
    </xf>
    <xf numFmtId="11" fontId="44" fillId="0" borderId="14" xfId="59" applyNumberFormat="1" applyFont="1" applyFill="1" applyBorder="1" applyAlignment="1" applyProtection="1">
      <alignment horizontal="center" wrapText="1"/>
      <protection/>
    </xf>
    <xf numFmtId="11" fontId="44" fillId="0" borderId="0" xfId="59" applyNumberFormat="1" applyFont="1" applyFill="1" applyBorder="1" applyAlignment="1" applyProtection="1">
      <alignment horizontal="center"/>
      <protection/>
    </xf>
    <xf numFmtId="0" fontId="44" fillId="0" borderId="0" xfId="59" applyFont="1" applyFill="1" applyAlignment="1">
      <alignment horizontal="center"/>
      <protection/>
    </xf>
    <xf numFmtId="11" fontId="44" fillId="0" borderId="0" xfId="59" applyNumberFormat="1" applyFont="1" applyFill="1" applyAlignment="1">
      <alignment horizontal="center"/>
      <protection/>
    </xf>
    <xf numFmtId="11" fontId="44" fillId="0" borderId="84" xfId="59" applyNumberFormat="1" applyFont="1" applyFill="1" applyBorder="1" applyAlignment="1" applyProtection="1">
      <alignment horizontal="center"/>
      <protection/>
    </xf>
    <xf numFmtId="11" fontId="44" fillId="0" borderId="22" xfId="59" applyNumberFormat="1" applyFont="1" applyFill="1" applyBorder="1" applyAlignment="1" applyProtection="1">
      <alignment horizontal="center"/>
      <protection/>
    </xf>
    <xf numFmtId="175" fontId="44" fillId="0" borderId="0" xfId="59" applyNumberFormat="1" applyFont="1" applyFill="1" applyBorder="1" applyAlignment="1" applyProtection="1">
      <alignment horizontal="center"/>
      <protection/>
    </xf>
    <xf numFmtId="175" fontId="44" fillId="0" borderId="22" xfId="59" applyNumberFormat="1" applyFont="1" applyFill="1" applyBorder="1" applyAlignment="1" applyProtection="1">
      <alignment horizontal="center"/>
      <protection/>
    </xf>
    <xf numFmtId="175" fontId="53" fillId="0" borderId="0" xfId="59" applyNumberFormat="1" applyFont="1" applyFill="1" applyBorder="1" applyAlignment="1" applyProtection="1">
      <alignment horizontal="center"/>
      <protection/>
    </xf>
    <xf numFmtId="175" fontId="53" fillId="0" borderId="22" xfId="59" applyNumberFormat="1" applyFont="1" applyFill="1" applyBorder="1" applyAlignment="1" applyProtection="1">
      <alignment horizontal="center"/>
      <protection/>
    </xf>
    <xf numFmtId="0" fontId="44" fillId="0" borderId="0" xfId="59" applyFont="1" applyFill="1" applyAlignment="1" applyProtection="1">
      <alignment horizontal="center"/>
      <protection/>
    </xf>
    <xf numFmtId="0" fontId="44" fillId="0" borderId="0" xfId="59" applyFont="1" applyFill="1" applyBorder="1" applyAlignment="1" applyProtection="1">
      <alignment horizontal="center"/>
      <protection/>
    </xf>
    <xf numFmtId="11" fontId="44" fillId="0" borderId="30" xfId="59" applyNumberFormat="1" applyFont="1" applyFill="1" applyBorder="1" applyAlignment="1" applyProtection="1">
      <alignment horizontal="center" wrapText="1"/>
      <protection/>
    </xf>
    <xf numFmtId="11" fontId="44" fillId="0" borderId="33" xfId="59" applyNumberFormat="1" applyFont="1" applyFill="1" applyBorder="1" applyAlignment="1" applyProtection="1">
      <alignment horizontal="center" wrapText="1"/>
      <protection/>
    </xf>
    <xf numFmtId="2" fontId="44" fillId="0" borderId="0" xfId="0" applyNumberFormat="1" applyFont="1" applyFill="1" applyAlignment="1">
      <alignment/>
    </xf>
    <xf numFmtId="0" fontId="56" fillId="0" borderId="0" xfId="0" applyFont="1" applyFill="1" applyAlignment="1">
      <alignment/>
    </xf>
    <xf numFmtId="0" fontId="44" fillId="0" borderId="0" xfId="0" applyFont="1" applyFill="1" applyAlignment="1">
      <alignment horizontal="left"/>
    </xf>
    <xf numFmtId="0" fontId="56" fillId="0" borderId="0" xfId="0" applyFont="1" applyFill="1" applyAlignment="1">
      <alignment horizontal="right"/>
    </xf>
    <xf numFmtId="1" fontId="44" fillId="0" borderId="219" xfId="0" applyNumberFormat="1" applyFont="1" applyFill="1" applyBorder="1" applyAlignment="1">
      <alignment horizontal="center"/>
    </xf>
    <xf numFmtId="1" fontId="44" fillId="0" borderId="19" xfId="0" applyNumberFormat="1" applyFont="1" applyFill="1" applyBorder="1" applyAlignment="1">
      <alignment horizontal="right"/>
    </xf>
    <xf numFmtId="1" fontId="44" fillId="0" borderId="0" xfId="0" applyNumberFormat="1" applyFont="1" applyFill="1" applyBorder="1" applyAlignment="1">
      <alignment horizontal="right"/>
    </xf>
    <xf numFmtId="0" fontId="44" fillId="0" borderId="0" xfId="0" applyFont="1" applyFill="1" applyAlignment="1">
      <alignment vertical="justify"/>
    </xf>
    <xf numFmtId="0" fontId="44" fillId="0" borderId="0" xfId="0" applyFont="1" applyFill="1" applyAlignment="1" applyProtection="1">
      <alignment horizontal="left"/>
      <protection locked="0"/>
    </xf>
    <xf numFmtId="11" fontId="44" fillId="0" borderId="0" xfId="0" applyNumberFormat="1" applyFont="1" applyFill="1" applyAlignment="1">
      <alignment/>
    </xf>
    <xf numFmtId="2" fontId="56" fillId="0" borderId="0" xfId="0" applyNumberFormat="1" applyFont="1" applyFill="1" applyAlignment="1">
      <alignment/>
    </xf>
    <xf numFmtId="2" fontId="56" fillId="0" borderId="0" xfId="0" applyNumberFormat="1" applyFont="1" applyFill="1" applyAlignment="1">
      <alignment horizontal="center"/>
    </xf>
    <xf numFmtId="173" fontId="44" fillId="0" borderId="0" xfId="0" applyNumberFormat="1" applyFont="1" applyFill="1" applyAlignment="1">
      <alignment/>
    </xf>
    <xf numFmtId="1" fontId="56" fillId="0" borderId="0" xfId="0" applyNumberFormat="1" applyFont="1" applyFill="1" applyAlignment="1">
      <alignment/>
    </xf>
    <xf numFmtId="1" fontId="44" fillId="0" borderId="0" xfId="0" applyNumberFormat="1" applyFont="1" applyFill="1" applyAlignment="1">
      <alignment/>
    </xf>
    <xf numFmtId="166" fontId="44" fillId="0" borderId="0" xfId="0" applyNumberFormat="1" applyFont="1" applyFill="1" applyAlignment="1">
      <alignment/>
    </xf>
    <xf numFmtId="165" fontId="44" fillId="0" borderId="0" xfId="0" applyNumberFormat="1" applyFont="1" applyFill="1" applyAlignment="1">
      <alignment/>
    </xf>
    <xf numFmtId="0" fontId="52" fillId="0" borderId="0" xfId="0" applyFont="1" applyFill="1" applyAlignment="1">
      <alignment/>
    </xf>
    <xf numFmtId="2" fontId="56" fillId="0" borderId="0" xfId="0" applyNumberFormat="1" applyFont="1" applyFill="1" applyAlignment="1">
      <alignment horizontal="right"/>
    </xf>
    <xf numFmtId="168" fontId="44" fillId="0" borderId="0" xfId="0" applyNumberFormat="1" applyFont="1" applyFill="1" applyAlignment="1">
      <alignment/>
    </xf>
    <xf numFmtId="166" fontId="56" fillId="0" borderId="0" xfId="0" applyNumberFormat="1" applyFont="1" applyFill="1" applyAlignment="1">
      <alignment/>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85" fillId="0" borderId="19" xfId="0" applyFont="1" applyFill="1" applyBorder="1" applyAlignment="1">
      <alignment vertical="center"/>
    </xf>
    <xf numFmtId="0" fontId="85" fillId="0" borderId="19" xfId="0" applyFont="1" applyFill="1" applyBorder="1" applyAlignment="1" applyProtection="1">
      <alignment horizontal="right" vertical="center"/>
      <protection locked="0"/>
    </xf>
    <xf numFmtId="0" fontId="85" fillId="0" borderId="19"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85" fillId="0" borderId="0" xfId="0" applyFont="1" applyFill="1" applyBorder="1" applyAlignment="1">
      <alignment horizontal="center" vertical="center"/>
    </xf>
    <xf numFmtId="0" fontId="7" fillId="34" borderId="0" xfId="59" applyFill="1" applyAlignment="1" applyProtection="1">
      <alignment horizontal="center"/>
      <protection/>
    </xf>
    <xf numFmtId="0" fontId="7" fillId="34" borderId="0" xfId="59" applyFill="1" applyBorder="1" applyAlignment="1" applyProtection="1">
      <alignment horizontal="center"/>
      <protection/>
    </xf>
    <xf numFmtId="0" fontId="7" fillId="34" borderId="0" xfId="59" applyFill="1" applyAlignment="1">
      <alignment horizontal="center"/>
      <protection/>
    </xf>
    <xf numFmtId="0" fontId="42" fillId="34" borderId="0" xfId="59" applyFont="1" applyFill="1" applyAlignment="1" applyProtection="1">
      <alignment horizontal="left"/>
      <protection/>
    </xf>
    <xf numFmtId="0" fontId="7" fillId="34" borderId="220" xfId="59" applyFill="1" applyBorder="1" applyAlignment="1" applyProtection="1">
      <alignment horizontal="center" vertical="center"/>
      <protection/>
    </xf>
    <xf numFmtId="0" fontId="43" fillId="34" borderId="221" xfId="59" applyFont="1" applyFill="1" applyBorder="1" applyAlignment="1" applyProtection="1">
      <alignment horizontal="center" vertical="center"/>
      <protection/>
    </xf>
    <xf numFmtId="0" fontId="14" fillId="34" borderId="222" xfId="59" applyFont="1" applyFill="1" applyBorder="1" applyAlignment="1" applyProtection="1">
      <alignment horizontal="left" vertical="center"/>
      <protection/>
    </xf>
    <xf numFmtId="0" fontId="7" fillId="34" borderId="0" xfId="59" applyFill="1" applyAlignment="1">
      <alignment horizontal="center" vertical="center"/>
      <protection/>
    </xf>
    <xf numFmtId="0" fontId="7" fillId="34" borderId="68" xfId="59" applyFill="1" applyBorder="1" applyAlignment="1" applyProtection="1">
      <alignment horizontal="center"/>
      <protection/>
    </xf>
    <xf numFmtId="0" fontId="7" fillId="34" borderId="27" xfId="59" applyFill="1" applyBorder="1" applyAlignment="1" applyProtection="1">
      <alignment horizontal="center"/>
      <protection/>
    </xf>
    <xf numFmtId="0" fontId="7" fillId="34" borderId="16" xfId="59" applyFill="1" applyBorder="1" applyAlignment="1" applyProtection="1">
      <alignment horizontal="center"/>
      <protection/>
    </xf>
    <xf numFmtId="0" fontId="7" fillId="34" borderId="17" xfId="59" applyFill="1" applyBorder="1" applyAlignment="1" applyProtection="1">
      <alignment horizontal="center"/>
      <protection/>
    </xf>
    <xf numFmtId="0" fontId="7" fillId="34" borderId="26" xfId="59" applyFill="1" applyBorder="1" applyAlignment="1" applyProtection="1">
      <alignment horizontal="center"/>
      <protection/>
    </xf>
    <xf numFmtId="0" fontId="7" fillId="34" borderId="18" xfId="59" applyFill="1" applyBorder="1" applyAlignment="1">
      <alignment horizontal="center"/>
      <protection/>
    </xf>
    <xf numFmtId="0" fontId="7" fillId="34" borderId="0" xfId="59" applyFill="1" applyBorder="1" applyAlignment="1">
      <alignment horizontal="center"/>
      <protection/>
    </xf>
    <xf numFmtId="0" fontId="7" fillId="34" borderId="49" xfId="59" applyFill="1" applyBorder="1" applyAlignment="1">
      <alignment horizontal="center"/>
      <protection/>
    </xf>
    <xf numFmtId="0" fontId="44" fillId="34" borderId="0" xfId="59" applyFont="1" applyFill="1" applyAlignment="1">
      <alignment horizontal="center" vertical="center" wrapText="1"/>
      <protection/>
    </xf>
    <xf numFmtId="0" fontId="48" fillId="34" borderId="68" xfId="59" applyFont="1" applyFill="1" applyBorder="1" applyAlignment="1" applyProtection="1">
      <alignment horizontal="center" wrapText="1"/>
      <protection/>
    </xf>
    <xf numFmtId="0" fontId="48" fillId="34" borderId="27" xfId="59" applyFont="1" applyFill="1" applyBorder="1" applyAlignment="1" applyProtection="1">
      <alignment horizontal="center" wrapText="1"/>
      <protection/>
    </xf>
    <xf numFmtId="0" fontId="48" fillId="34" borderId="18" xfId="59" applyFont="1" applyFill="1" applyBorder="1" applyAlignment="1" applyProtection="1">
      <alignment horizontal="center" wrapText="1"/>
      <protection/>
    </xf>
    <xf numFmtId="0" fontId="48" fillId="34" borderId="0" xfId="59" applyFont="1" applyFill="1" applyBorder="1" applyAlignment="1" applyProtection="1">
      <alignment horizontal="center" wrapText="1"/>
      <protection/>
    </xf>
    <xf numFmtId="0" fontId="50" fillId="34" borderId="27" xfId="59" applyFont="1" applyFill="1" applyBorder="1" applyAlignment="1" applyProtection="1">
      <alignment horizontal="center" wrapText="1"/>
      <protection/>
    </xf>
    <xf numFmtId="0" fontId="48" fillId="34" borderId="18" xfId="59" applyFont="1" applyFill="1" applyBorder="1" applyAlignment="1">
      <alignment horizontal="center" wrapText="1"/>
      <protection/>
    </xf>
    <xf numFmtId="0" fontId="48" fillId="34" borderId="0" xfId="59" applyFont="1" applyFill="1" applyBorder="1" applyAlignment="1">
      <alignment horizontal="center" wrapText="1"/>
      <protection/>
    </xf>
    <xf numFmtId="0" fontId="48" fillId="34" borderId="49" xfId="59" applyFont="1" applyFill="1" applyBorder="1" applyAlignment="1">
      <alignment horizontal="center" wrapText="1"/>
      <protection/>
    </xf>
    <xf numFmtId="0" fontId="48" fillId="34" borderId="0" xfId="59" applyFont="1" applyFill="1" applyAlignment="1">
      <alignment horizontal="center" wrapText="1"/>
      <protection/>
    </xf>
    <xf numFmtId="0" fontId="44" fillId="34" borderId="86" xfId="59" applyFont="1" applyFill="1" applyBorder="1" applyAlignment="1" applyProtection="1">
      <alignment horizontal="center" wrapText="1"/>
      <protection/>
    </xf>
    <xf numFmtId="0" fontId="44" fillId="34" borderId="223" xfId="59" applyFont="1" applyFill="1" applyBorder="1" applyAlignment="1" applyProtection="1">
      <alignment horizontal="center" wrapText="1"/>
      <protection/>
    </xf>
    <xf numFmtId="0" fontId="44" fillId="34" borderId="224" xfId="59" applyFont="1" applyFill="1" applyBorder="1" applyAlignment="1" applyProtection="1">
      <alignment horizontal="center" wrapText="1"/>
      <protection/>
    </xf>
    <xf numFmtId="0" fontId="44" fillId="34" borderId="87" xfId="59" applyFont="1" applyFill="1" applyBorder="1" applyAlignment="1" applyProtection="1">
      <alignment horizontal="center" wrapText="1"/>
      <protection/>
    </xf>
    <xf numFmtId="0" fontId="44" fillId="34" borderId="224" xfId="59" applyFont="1" applyFill="1" applyBorder="1" applyAlignment="1">
      <alignment horizontal="center" wrapText="1"/>
      <protection/>
    </xf>
    <xf numFmtId="0" fontId="44" fillId="34" borderId="87" xfId="59" applyFont="1" applyFill="1" applyBorder="1" applyAlignment="1">
      <alignment horizontal="center" wrapText="1"/>
      <protection/>
    </xf>
    <xf numFmtId="0" fontId="44" fillId="34" borderId="88" xfId="59" applyFont="1" applyFill="1" applyBorder="1" applyAlignment="1">
      <alignment horizontal="center" wrapText="1"/>
      <protection/>
    </xf>
    <xf numFmtId="0" fontId="44" fillId="34" borderId="0" xfId="59" applyFont="1" applyFill="1" applyBorder="1" applyAlignment="1">
      <alignment horizontal="center" wrapText="1"/>
      <protection/>
    </xf>
    <xf numFmtId="0" fontId="44" fillId="34" borderId="68" xfId="59" applyFont="1" applyFill="1" applyBorder="1" applyAlignment="1" applyProtection="1">
      <alignment horizontal="center" wrapText="1"/>
      <protection/>
    </xf>
    <xf numFmtId="0" fontId="44" fillId="34" borderId="0" xfId="59" applyFont="1" applyFill="1" applyAlignment="1">
      <alignment horizontal="center" wrapText="1"/>
      <protection/>
    </xf>
    <xf numFmtId="0" fontId="44" fillId="34" borderId="68" xfId="59" applyFont="1" applyFill="1" applyBorder="1" applyAlignment="1" applyProtection="1">
      <alignment horizontal="center"/>
      <protection/>
    </xf>
    <xf numFmtId="0" fontId="52" fillId="34" borderId="27" xfId="59" applyFont="1" applyFill="1" applyBorder="1" applyAlignment="1" applyProtection="1">
      <alignment horizontal="center"/>
      <protection/>
    </xf>
    <xf numFmtId="168" fontId="44" fillId="34" borderId="18" xfId="59" applyNumberFormat="1" applyFont="1" applyFill="1" applyBorder="1" applyAlignment="1" applyProtection="1">
      <alignment horizontal="center"/>
      <protection/>
    </xf>
    <xf numFmtId="11" fontId="44" fillId="34" borderId="0" xfId="59" applyNumberFormat="1" applyFont="1" applyFill="1" applyBorder="1" applyAlignment="1" applyProtection="1">
      <alignment horizontal="center"/>
      <protection/>
    </xf>
    <xf numFmtId="11" fontId="44" fillId="34" borderId="27" xfId="59" applyNumberFormat="1" applyFont="1" applyFill="1" applyBorder="1" applyAlignment="1" applyProtection="1">
      <alignment horizontal="center"/>
      <protection/>
    </xf>
    <xf numFmtId="0" fontId="44" fillId="34" borderId="18" xfId="59" applyNumberFormat="1" applyFont="1" applyFill="1" applyBorder="1" applyAlignment="1">
      <alignment horizontal="center"/>
      <protection/>
    </xf>
    <xf numFmtId="0" fontId="44" fillId="34" borderId="0" xfId="59" applyNumberFormat="1" applyFont="1" applyFill="1" applyBorder="1" applyAlignment="1">
      <alignment horizontal="center"/>
      <protection/>
    </xf>
    <xf numFmtId="0" fontId="44" fillId="34" borderId="49" xfId="59" applyNumberFormat="1" applyFont="1" applyFill="1" applyBorder="1" applyAlignment="1">
      <alignment horizontal="center"/>
      <protection/>
    </xf>
    <xf numFmtId="0" fontId="44" fillId="34" borderId="0" xfId="59" applyFont="1" applyFill="1" applyAlignment="1">
      <alignment horizontal="center"/>
      <protection/>
    </xf>
    <xf numFmtId="0" fontId="44" fillId="34" borderId="91" xfId="59" applyFont="1" applyFill="1" applyBorder="1" applyAlignment="1" applyProtection="1">
      <alignment horizontal="center"/>
      <protection/>
    </xf>
    <xf numFmtId="0" fontId="52" fillId="34" borderId="225" xfId="59" applyFont="1" applyFill="1" applyBorder="1" applyAlignment="1" applyProtection="1">
      <alignment horizontal="center"/>
      <protection/>
    </xf>
    <xf numFmtId="168" fontId="44" fillId="34" borderId="226" xfId="59" applyNumberFormat="1" applyFont="1" applyFill="1" applyBorder="1" applyAlignment="1" applyProtection="1">
      <alignment horizontal="center"/>
      <protection/>
    </xf>
    <xf numFmtId="11" fontId="44" fillId="34" borderId="84" xfId="59" applyNumberFormat="1" applyFont="1" applyFill="1" applyBorder="1" applyAlignment="1" applyProtection="1">
      <alignment horizontal="center"/>
      <protection/>
    </xf>
    <xf numFmtId="11" fontId="44" fillId="34" borderId="225" xfId="59" applyNumberFormat="1" applyFont="1" applyFill="1" applyBorder="1" applyAlignment="1" applyProtection="1">
      <alignment horizontal="center"/>
      <protection/>
    </xf>
    <xf numFmtId="0" fontId="44" fillId="34" borderId="226" xfId="59" applyNumberFormat="1" applyFont="1" applyFill="1" applyBorder="1" applyAlignment="1">
      <alignment horizontal="center"/>
      <protection/>
    </xf>
    <xf numFmtId="0" fontId="44" fillId="34" borderId="84" xfId="59" applyNumberFormat="1" applyFont="1" applyFill="1" applyBorder="1" applyAlignment="1">
      <alignment horizontal="center"/>
      <protection/>
    </xf>
    <xf numFmtId="0" fontId="44" fillId="34" borderId="92" xfId="59" applyNumberFormat="1" applyFont="1" applyFill="1" applyBorder="1" applyAlignment="1">
      <alignment horizontal="center"/>
      <protection/>
    </xf>
    <xf numFmtId="0" fontId="44" fillId="34" borderId="227" xfId="59" applyFont="1" applyFill="1" applyBorder="1" applyAlignment="1" applyProtection="1">
      <alignment horizontal="center"/>
      <protection/>
    </xf>
    <xf numFmtId="0" fontId="52" fillId="34" borderId="52" xfId="59" applyFont="1" applyFill="1" applyBorder="1" applyAlignment="1" applyProtection="1">
      <alignment horizontal="center"/>
      <protection/>
    </xf>
    <xf numFmtId="168" fontId="44" fillId="34" borderId="21" xfId="59" applyNumberFormat="1" applyFont="1" applyFill="1" applyBorder="1" applyAlignment="1" applyProtection="1">
      <alignment horizontal="center"/>
      <protection/>
    </xf>
    <xf numFmtId="11" fontId="44" fillId="34" borderId="22" xfId="59" applyNumberFormat="1" applyFont="1" applyFill="1" applyBorder="1" applyAlignment="1" applyProtection="1">
      <alignment horizontal="center"/>
      <protection/>
    </xf>
    <xf numFmtId="11" fontId="44" fillId="34" borderId="52" xfId="59" applyNumberFormat="1" applyFont="1" applyFill="1" applyBorder="1" applyAlignment="1" applyProtection="1">
      <alignment horizontal="center"/>
      <protection/>
    </xf>
    <xf numFmtId="0" fontId="44" fillId="34" borderId="21" xfId="59" applyNumberFormat="1" applyFont="1" applyFill="1" applyBorder="1" applyAlignment="1">
      <alignment horizontal="center"/>
      <protection/>
    </xf>
    <xf numFmtId="0" fontId="44" fillId="34" borderId="22" xfId="59" applyNumberFormat="1" applyFont="1" applyFill="1" applyBorder="1" applyAlignment="1">
      <alignment horizontal="center"/>
      <protection/>
    </xf>
    <xf numFmtId="0" fontId="44" fillId="34" borderId="228" xfId="59" applyNumberFormat="1" applyFont="1" applyFill="1" applyBorder="1" applyAlignment="1">
      <alignment horizontal="center"/>
      <protection/>
    </xf>
    <xf numFmtId="0" fontId="44" fillId="34" borderId="68" xfId="59" applyFont="1" applyFill="1" applyBorder="1" applyAlignment="1" applyProtection="1">
      <alignment horizontal="left" vertical="center"/>
      <protection/>
    </xf>
    <xf numFmtId="184" fontId="44" fillId="34" borderId="18" xfId="42" applyNumberFormat="1" applyFont="1" applyFill="1" applyBorder="1" applyAlignment="1">
      <alignment horizontal="center"/>
    </xf>
    <xf numFmtId="184" fontId="44" fillId="34" borderId="0" xfId="42" applyNumberFormat="1" applyFont="1" applyFill="1" applyBorder="1" applyAlignment="1">
      <alignment horizontal="center"/>
    </xf>
    <xf numFmtId="184" fontId="44" fillId="34" borderId="49" xfId="42" applyNumberFormat="1" applyFont="1" applyFill="1" applyBorder="1" applyAlignment="1">
      <alignment horizontal="center"/>
    </xf>
    <xf numFmtId="0" fontId="44" fillId="34" borderId="227" xfId="59" applyFont="1" applyFill="1" applyBorder="1" applyAlignment="1" applyProtection="1">
      <alignment horizontal="left" vertical="center"/>
      <protection/>
    </xf>
    <xf numFmtId="184" fontId="44" fillId="34" borderId="21" xfId="42" applyNumberFormat="1" applyFont="1" applyFill="1" applyBorder="1" applyAlignment="1">
      <alignment horizontal="center"/>
    </xf>
    <xf numFmtId="184" fontId="44" fillId="34" borderId="22" xfId="42" applyNumberFormat="1" applyFont="1" applyFill="1" applyBorder="1" applyAlignment="1">
      <alignment horizontal="center"/>
    </xf>
    <xf numFmtId="184" fontId="44" fillId="34" borderId="228" xfId="42" applyNumberFormat="1" applyFont="1" applyFill="1" applyBorder="1" applyAlignment="1">
      <alignment horizontal="center"/>
    </xf>
    <xf numFmtId="1" fontId="53" fillId="34" borderId="68" xfId="59" applyNumberFormat="1" applyFont="1" applyFill="1" applyBorder="1" applyAlignment="1" applyProtection="1">
      <alignment horizontal="left" vertical="center"/>
      <protection/>
    </xf>
    <xf numFmtId="0" fontId="54" fillId="34" borderId="27" xfId="59" applyFont="1" applyFill="1" applyBorder="1" applyAlignment="1" applyProtection="1">
      <alignment horizontal="center"/>
      <protection/>
    </xf>
    <xf numFmtId="0" fontId="44" fillId="34" borderId="18" xfId="59" applyFont="1" applyFill="1" applyBorder="1" applyAlignment="1" applyProtection="1">
      <alignment horizontal="center"/>
      <protection/>
    </xf>
    <xf numFmtId="11" fontId="53" fillId="34" borderId="0" xfId="59" applyNumberFormat="1" applyFont="1" applyFill="1" applyBorder="1" applyAlignment="1" applyProtection="1">
      <alignment horizontal="center"/>
      <protection/>
    </xf>
    <xf numFmtId="11" fontId="53" fillId="34" borderId="27" xfId="59" applyNumberFormat="1" applyFont="1" applyFill="1" applyBorder="1" applyAlignment="1" applyProtection="1">
      <alignment horizontal="center"/>
      <protection/>
    </xf>
    <xf numFmtId="1" fontId="53" fillId="34" borderId="91" xfId="59" applyNumberFormat="1" applyFont="1" applyFill="1" applyBorder="1" applyAlignment="1" applyProtection="1">
      <alignment horizontal="left" vertical="center"/>
      <protection/>
    </xf>
    <xf numFmtId="0" fontId="54" fillId="34" borderId="225" xfId="59" applyFont="1" applyFill="1" applyBorder="1" applyAlignment="1" applyProtection="1">
      <alignment horizontal="center"/>
      <protection/>
    </xf>
    <xf numFmtId="0" fontId="44" fillId="34" borderId="226" xfId="59" applyFont="1" applyFill="1" applyBorder="1" applyAlignment="1" applyProtection="1">
      <alignment horizontal="center"/>
      <protection/>
    </xf>
    <xf numFmtId="11" fontId="53" fillId="34" borderId="84" xfId="59" applyNumberFormat="1" applyFont="1" applyFill="1" applyBorder="1" applyAlignment="1" applyProtection="1">
      <alignment horizontal="center"/>
      <protection/>
    </xf>
    <xf numFmtId="11" fontId="53" fillId="34" borderId="225" xfId="59" applyNumberFormat="1" applyFont="1" applyFill="1" applyBorder="1" applyAlignment="1" applyProtection="1">
      <alignment horizontal="center"/>
      <protection/>
    </xf>
    <xf numFmtId="1" fontId="55" fillId="34" borderId="0" xfId="59" applyNumberFormat="1" applyFont="1" applyFill="1" applyBorder="1" applyAlignment="1" applyProtection="1">
      <alignment horizontal="left"/>
      <protection/>
    </xf>
    <xf numFmtId="0" fontId="44" fillId="34" borderId="0" xfId="59" applyFont="1" applyFill="1" applyAlignment="1" applyProtection="1">
      <alignment horizontal="center"/>
      <protection/>
    </xf>
    <xf numFmtId="175" fontId="53" fillId="34" borderId="0" xfId="59" applyNumberFormat="1" applyFont="1" applyFill="1" applyBorder="1" applyAlignment="1" applyProtection="1">
      <alignment horizontal="center"/>
      <protection/>
    </xf>
    <xf numFmtId="0" fontId="92" fillId="0" borderId="0" xfId="57" applyFont="1" applyFill="1">
      <alignment/>
      <protection/>
    </xf>
    <xf numFmtId="0" fontId="44" fillId="0" borderId="0" xfId="57" applyFill="1">
      <alignment/>
      <protection/>
    </xf>
    <xf numFmtId="0" fontId="44" fillId="0" borderId="72" xfId="62" applyFont="1" applyFill="1" applyBorder="1" applyAlignment="1">
      <alignment horizontal="center"/>
      <protection/>
    </xf>
    <xf numFmtId="0" fontId="44" fillId="0" borderId="42" xfId="62" applyFont="1" applyFill="1" applyBorder="1" applyAlignment="1">
      <alignment horizontal="center"/>
      <protection/>
    </xf>
    <xf numFmtId="166" fontId="44" fillId="34" borderId="19" xfId="0" applyNumberFormat="1" applyFont="1" applyFill="1" applyBorder="1" applyAlignment="1">
      <alignment horizontal="center" vertical="center"/>
    </xf>
    <xf numFmtId="168" fontId="44" fillId="34" borderId="229" xfId="0" applyNumberFormat="1" applyFont="1" applyFill="1" applyBorder="1" applyAlignment="1">
      <alignment horizontal="center" vertical="center"/>
    </xf>
    <xf numFmtId="168" fontId="44" fillId="34" borderId="230" xfId="0" applyNumberFormat="1" applyFont="1" applyFill="1" applyBorder="1" applyAlignment="1">
      <alignment horizontal="center" vertical="center"/>
    </xf>
    <xf numFmtId="168" fontId="44" fillId="34" borderId="40" xfId="0" applyNumberFormat="1" applyFont="1" applyFill="1" applyBorder="1" applyAlignment="1">
      <alignment horizontal="center" vertical="center"/>
    </xf>
    <xf numFmtId="168" fontId="44" fillId="34" borderId="231" xfId="0" applyNumberFormat="1" applyFont="1" applyFill="1" applyBorder="1" applyAlignment="1">
      <alignment horizontal="center" vertical="center"/>
    </xf>
    <xf numFmtId="168" fontId="44" fillId="34" borderId="22" xfId="0" applyNumberFormat="1" applyFont="1" applyFill="1" applyBorder="1" applyAlignment="1">
      <alignment horizontal="center" vertical="center"/>
    </xf>
    <xf numFmtId="168" fontId="44" fillId="34" borderId="232" xfId="0" applyNumberFormat="1" applyFont="1" applyFill="1" applyBorder="1" applyAlignment="1">
      <alignment horizontal="center" vertical="center"/>
    </xf>
    <xf numFmtId="168" fontId="44" fillId="34" borderId="0" xfId="0" applyNumberFormat="1" applyFont="1" applyFill="1" applyBorder="1" applyAlignment="1">
      <alignment horizontal="center" vertical="center"/>
    </xf>
    <xf numFmtId="0" fontId="44" fillId="34" borderId="43" xfId="59" applyFont="1" applyFill="1" applyBorder="1" applyAlignment="1">
      <alignment vertical="center" wrapText="1"/>
      <protection/>
    </xf>
    <xf numFmtId="0" fontId="44" fillId="34" borderId="233" xfId="59" applyFont="1" applyFill="1" applyBorder="1" applyAlignment="1">
      <alignment vertical="center"/>
      <protection/>
    </xf>
    <xf numFmtId="0" fontId="53" fillId="34" borderId="0" xfId="59" applyFont="1" applyFill="1" applyBorder="1" applyAlignment="1" applyProtection="1">
      <alignment horizontal="center"/>
      <protection/>
    </xf>
    <xf numFmtId="0" fontId="44" fillId="34" borderId="16" xfId="0" applyFont="1" applyFill="1" applyBorder="1" applyAlignment="1">
      <alignment horizontal="center" vertical="center"/>
    </xf>
    <xf numFmtId="0" fontId="84" fillId="34" borderId="234" xfId="0" applyFont="1" applyFill="1" applyBorder="1" applyAlignment="1">
      <alignment vertical="center"/>
    </xf>
    <xf numFmtId="0" fontId="85" fillId="34" borderId="75" xfId="0" applyFont="1" applyFill="1" applyBorder="1" applyAlignment="1">
      <alignment horizontal="center" vertical="center"/>
    </xf>
    <xf numFmtId="0" fontId="85" fillId="34" borderId="75" xfId="0" applyFont="1" applyFill="1" applyBorder="1" applyAlignment="1">
      <alignment vertical="center"/>
    </xf>
    <xf numFmtId="0" fontId="56" fillId="34" borderId="0" xfId="0" applyFont="1" applyFill="1" applyBorder="1" applyAlignment="1">
      <alignment/>
    </xf>
    <xf numFmtId="0" fontId="108" fillId="0" borderId="235" xfId="0" applyFont="1" applyFill="1" applyBorder="1" applyAlignment="1">
      <alignment horizontal="center" vertical="center"/>
    </xf>
    <xf numFmtId="0" fontId="44" fillId="34" borderId="84" xfId="0" applyFont="1" applyFill="1" applyBorder="1" applyAlignment="1">
      <alignment horizontal="center"/>
    </xf>
    <xf numFmtId="0" fontId="44" fillId="34" borderId="35" xfId="59" applyFont="1" applyFill="1" applyBorder="1" applyAlignment="1">
      <alignment horizontal="center" vertical="center"/>
      <protection/>
    </xf>
    <xf numFmtId="0" fontId="44" fillId="34" borderId="32" xfId="59" applyFont="1" applyFill="1" applyBorder="1" applyAlignment="1">
      <alignment horizontal="center" vertical="center"/>
      <protection/>
    </xf>
    <xf numFmtId="0" fontId="85" fillId="0" borderId="170" xfId="59" applyFont="1" applyFill="1" applyBorder="1" applyAlignment="1">
      <alignment horizontal="center" vertical="center"/>
      <protection/>
    </xf>
    <xf numFmtId="0" fontId="85" fillId="0" borderId="31" xfId="59" applyFont="1" applyFill="1" applyBorder="1" applyAlignment="1">
      <alignment horizontal="center" vertical="center"/>
      <protection/>
    </xf>
    <xf numFmtId="0" fontId="85" fillId="0" borderId="144" xfId="59" applyFont="1" applyFill="1" applyBorder="1" applyAlignment="1">
      <alignment horizontal="center" vertical="center"/>
      <protection/>
    </xf>
    <xf numFmtId="0" fontId="44" fillId="34" borderId="175" xfId="59" applyFont="1" applyFill="1" applyBorder="1" applyAlignment="1">
      <alignment horizontal="center" vertical="center"/>
      <protection/>
    </xf>
    <xf numFmtId="0" fontId="44" fillId="34" borderId="169" xfId="59" applyFont="1" applyFill="1" applyBorder="1" applyAlignment="1">
      <alignment horizontal="center" vertical="center"/>
      <protection/>
    </xf>
    <xf numFmtId="0" fontId="85" fillId="0" borderId="168" xfId="59" applyFont="1" applyFill="1" applyBorder="1" applyAlignment="1">
      <alignment horizontal="center" vertical="center"/>
      <protection/>
    </xf>
    <xf numFmtId="0" fontId="85" fillId="0" borderId="93" xfId="59" applyFont="1" applyFill="1" applyBorder="1" applyAlignment="1">
      <alignment horizontal="center" vertical="center"/>
      <protection/>
    </xf>
    <xf numFmtId="0" fontId="44" fillId="36" borderId="236" xfId="59" applyFont="1" applyFill="1" applyBorder="1" applyAlignment="1">
      <alignment vertical="center"/>
      <protection/>
    </xf>
    <xf numFmtId="0" fontId="85" fillId="0" borderId="237" xfId="59" applyFont="1" applyFill="1" applyBorder="1" applyAlignment="1">
      <alignment horizontal="center" vertical="center"/>
      <protection/>
    </xf>
    <xf numFmtId="0" fontId="44" fillId="34" borderId="34" xfId="59" applyFont="1" applyFill="1" applyBorder="1" applyAlignment="1">
      <alignment horizontal="center" vertical="center"/>
      <protection/>
    </xf>
    <xf numFmtId="0" fontId="44" fillId="34" borderId="30" xfId="59" applyFont="1" applyFill="1" applyBorder="1" applyAlignment="1">
      <alignment horizontal="center" vertical="center"/>
      <protection/>
    </xf>
    <xf numFmtId="0" fontId="85" fillId="0" borderId="28" xfId="59" applyFont="1" applyFill="1" applyBorder="1" applyAlignment="1">
      <alignment horizontal="center" vertical="center"/>
      <protection/>
    </xf>
    <xf numFmtId="0" fontId="85" fillId="0" borderId="29" xfId="59" applyFont="1" applyFill="1" applyBorder="1" applyAlignment="1">
      <alignment horizontal="center" vertical="center"/>
      <protection/>
    </xf>
    <xf numFmtId="0" fontId="44" fillId="36" borderId="238" xfId="59" applyFont="1" applyFill="1" applyBorder="1" applyAlignment="1">
      <alignment vertical="center"/>
      <protection/>
    </xf>
    <xf numFmtId="0" fontId="85" fillId="0" borderId="239" xfId="59" applyFont="1" applyFill="1" applyBorder="1" applyAlignment="1">
      <alignment horizontal="center" vertical="center"/>
      <protection/>
    </xf>
    <xf numFmtId="0" fontId="44" fillId="34" borderId="240" xfId="0" applyFont="1" applyFill="1" applyBorder="1" applyAlignment="1">
      <alignment horizontal="left" vertical="center"/>
    </xf>
    <xf numFmtId="0" fontId="44" fillId="34" borderId="241" xfId="0" applyFont="1" applyFill="1" applyBorder="1" applyAlignment="1">
      <alignment horizontal="center" vertical="center"/>
    </xf>
    <xf numFmtId="11" fontId="44" fillId="34" borderId="242" xfId="0" applyNumberFormat="1" applyFont="1" applyFill="1" applyBorder="1" applyAlignment="1">
      <alignment horizontal="center" vertical="center"/>
    </xf>
    <xf numFmtId="0" fontId="44" fillId="34" borderId="122" xfId="0" applyFont="1" applyFill="1" applyBorder="1" applyAlignment="1">
      <alignment horizontal="left" vertical="center"/>
    </xf>
    <xf numFmtId="0" fontId="44" fillId="34" borderId="96" xfId="0" applyFont="1" applyFill="1" applyBorder="1" applyAlignment="1">
      <alignment horizontal="center" vertical="center"/>
    </xf>
    <xf numFmtId="168" fontId="44" fillId="34" borderId="243" xfId="0" applyNumberFormat="1" applyFont="1" applyFill="1" applyBorder="1" applyAlignment="1">
      <alignment horizontal="center" vertical="center"/>
    </xf>
    <xf numFmtId="0" fontId="98" fillId="34" borderId="241" xfId="0" applyFont="1" applyFill="1" applyBorder="1" applyAlignment="1">
      <alignment horizontal="center" vertical="center"/>
    </xf>
    <xf numFmtId="1" fontId="44" fillId="34" borderId="242" xfId="0" applyNumberFormat="1" applyFont="1" applyFill="1" applyBorder="1" applyAlignment="1">
      <alignment horizontal="center" vertical="center"/>
    </xf>
    <xf numFmtId="0" fontId="44" fillId="34" borderId="142" xfId="0" applyFont="1" applyFill="1" applyBorder="1" applyAlignment="1">
      <alignment horizontal="left" vertical="center"/>
    </xf>
    <xf numFmtId="0" fontId="98" fillId="34" borderId="132" xfId="0" applyFont="1" applyFill="1" applyBorder="1" applyAlignment="1">
      <alignment horizontal="center" vertical="center"/>
    </xf>
    <xf numFmtId="0" fontId="86" fillId="34" borderId="0" xfId="59" applyFont="1" applyFill="1" applyAlignment="1" applyProtection="1">
      <alignment horizontal="left"/>
      <protection/>
    </xf>
    <xf numFmtId="0" fontId="52" fillId="34" borderId="68" xfId="59" applyFont="1" applyFill="1" applyBorder="1" applyAlignment="1" applyProtection="1">
      <alignment horizontal="center" vertical="center" wrapText="1"/>
      <protection/>
    </xf>
    <xf numFmtId="0" fontId="52" fillId="34" borderId="27" xfId="59" applyFont="1" applyFill="1" applyBorder="1" applyAlignment="1" applyProtection="1">
      <alignment horizontal="center" vertical="center" wrapText="1"/>
      <protection/>
    </xf>
    <xf numFmtId="0" fontId="52" fillId="34" borderId="18" xfId="59" applyFont="1" applyFill="1" applyBorder="1" applyAlignment="1" applyProtection="1">
      <alignment horizontal="center" vertical="center" wrapText="1"/>
      <protection/>
    </xf>
    <xf numFmtId="0" fontId="52" fillId="34" borderId="0" xfId="59" applyFont="1" applyFill="1" applyBorder="1" applyAlignment="1" applyProtection="1">
      <alignment horizontal="center" vertical="center" wrapText="1"/>
      <protection/>
    </xf>
    <xf numFmtId="0" fontId="52" fillId="34" borderId="18" xfId="59" applyFont="1" applyFill="1" applyBorder="1" applyAlignment="1">
      <alignment horizontal="center" vertical="center" wrapText="1"/>
      <protection/>
    </xf>
    <xf numFmtId="0" fontId="52" fillId="34" borderId="0" xfId="59" applyFont="1" applyFill="1" applyBorder="1" applyAlignment="1">
      <alignment horizontal="center" vertical="center" wrapText="1"/>
      <protection/>
    </xf>
    <xf numFmtId="0" fontId="51" fillId="34" borderId="0" xfId="59" applyFont="1" applyFill="1" applyBorder="1" applyAlignment="1">
      <alignment horizontal="center" vertical="center" wrapText="1"/>
      <protection/>
    </xf>
    <xf numFmtId="0" fontId="51" fillId="34" borderId="49" xfId="59" applyFont="1" applyFill="1" applyBorder="1" applyAlignment="1">
      <alignment horizontal="center" vertical="center" wrapText="1"/>
      <protection/>
    </xf>
    <xf numFmtId="0" fontId="85" fillId="34" borderId="244" xfId="0" applyFont="1" applyFill="1" applyBorder="1" applyAlignment="1">
      <alignment horizontal="center"/>
    </xf>
    <xf numFmtId="0" fontId="85" fillId="34" borderId="245" xfId="0" applyFont="1" applyFill="1" applyBorder="1" applyAlignment="1">
      <alignment horizontal="center"/>
    </xf>
    <xf numFmtId="0" fontId="85" fillId="34" borderId="246" xfId="0" applyFont="1" applyFill="1" applyBorder="1" applyAlignment="1">
      <alignment/>
    </xf>
    <xf numFmtId="0" fontId="148" fillId="34" borderId="0" xfId="0" applyFont="1" applyFill="1" applyBorder="1" applyAlignment="1">
      <alignment horizontal="right"/>
    </xf>
    <xf numFmtId="168" fontId="149" fillId="34" borderId="19" xfId="0" applyNumberFormat="1" applyFont="1" applyFill="1" applyBorder="1" applyAlignment="1">
      <alignment horizontal="center"/>
    </xf>
    <xf numFmtId="0" fontId="150" fillId="34" borderId="49" xfId="0" applyFont="1" applyFill="1" applyBorder="1" applyAlignment="1">
      <alignment/>
    </xf>
    <xf numFmtId="0" fontId="151" fillId="34" borderId="0" xfId="0" applyFont="1" applyFill="1" applyBorder="1" applyAlignment="1">
      <alignment horizontal="right"/>
    </xf>
    <xf numFmtId="0" fontId="148" fillId="34" borderId="0" xfId="0" applyFont="1" applyFill="1" applyBorder="1" applyAlignment="1">
      <alignment/>
    </xf>
    <xf numFmtId="0" fontId="148" fillId="34" borderId="49" xfId="0" applyFont="1" applyFill="1" applyBorder="1" applyAlignment="1">
      <alignment/>
    </xf>
    <xf numFmtId="0" fontId="150" fillId="34" borderId="49" xfId="0" applyFont="1" applyFill="1" applyBorder="1" applyAlignment="1">
      <alignment horizontal="left"/>
    </xf>
    <xf numFmtId="166" fontId="149" fillId="34" borderId="19" xfId="0" applyNumberFormat="1" applyFont="1" applyFill="1" applyBorder="1" applyAlignment="1">
      <alignment horizontal="center"/>
    </xf>
    <xf numFmtId="0" fontId="124" fillId="34" borderId="0" xfId="0" applyFont="1" applyFill="1" applyAlignment="1">
      <alignment horizontal="left" vertical="center"/>
    </xf>
    <xf numFmtId="0" fontId="124" fillId="34" borderId="0" xfId="0" applyFont="1" applyFill="1" applyAlignment="1">
      <alignment/>
    </xf>
    <xf numFmtId="176" fontId="85" fillId="0" borderId="0" xfId="62" applyNumberFormat="1" applyFont="1" applyFill="1" applyAlignment="1">
      <alignment horizontal="center"/>
      <protection/>
    </xf>
    <xf numFmtId="11" fontId="85" fillId="2" borderId="44" xfId="62" applyNumberFormat="1" applyFont="1" applyFill="1" applyBorder="1" applyAlignment="1" applyProtection="1">
      <alignment horizontal="center"/>
      <protection/>
    </xf>
    <xf numFmtId="11" fontId="44" fillId="0" borderId="0" xfId="62" applyNumberFormat="1" applyFont="1" applyFill="1" applyBorder="1" applyAlignment="1">
      <alignment horizontal="center" vertical="center" textRotation="90"/>
      <protection/>
    </xf>
    <xf numFmtId="176" fontId="85" fillId="0" borderId="0" xfId="62" applyNumberFormat="1" applyFont="1" applyFill="1" applyBorder="1" applyAlignment="1">
      <alignment horizontal="center"/>
      <protection/>
    </xf>
    <xf numFmtId="176" fontId="44" fillId="0" borderId="0" xfId="62" applyNumberFormat="1" applyFont="1" applyFill="1" applyBorder="1" applyAlignment="1">
      <alignment horizontal="center"/>
      <protection/>
    </xf>
    <xf numFmtId="176" fontId="85" fillId="0" borderId="27" xfId="62" applyNumberFormat="1" applyFont="1" applyFill="1" applyBorder="1" applyAlignment="1">
      <alignment horizontal="center"/>
      <protection/>
    </xf>
    <xf numFmtId="176" fontId="85" fillId="0" borderId="22" xfId="62" applyNumberFormat="1" applyFont="1" applyFill="1" applyBorder="1" applyAlignment="1">
      <alignment horizontal="center"/>
      <protection/>
    </xf>
    <xf numFmtId="176" fontId="44" fillId="0" borderId="22" xfId="62" applyNumberFormat="1" applyFont="1" applyFill="1" applyBorder="1" applyAlignment="1">
      <alignment horizontal="center"/>
      <protection/>
    </xf>
    <xf numFmtId="176" fontId="85" fillId="0" borderId="52" xfId="62" applyNumberFormat="1" applyFont="1" applyFill="1" applyBorder="1" applyAlignment="1">
      <alignment horizontal="center"/>
      <protection/>
    </xf>
    <xf numFmtId="176" fontId="85" fillId="0" borderId="44" xfId="62" applyNumberFormat="1" applyFont="1" applyFill="1" applyBorder="1" applyAlignment="1">
      <alignment horizontal="center"/>
      <protection/>
    </xf>
    <xf numFmtId="176" fontId="85" fillId="0" borderId="46" xfId="62" applyNumberFormat="1" applyFont="1" applyFill="1" applyBorder="1" applyAlignment="1">
      <alignment horizontal="center"/>
      <protection/>
    </xf>
    <xf numFmtId="11" fontId="44" fillId="0" borderId="41" xfId="62" applyNumberFormat="1" applyFont="1" applyFill="1" applyBorder="1" applyAlignment="1">
      <alignment horizontal="center" vertical="center" textRotation="90"/>
      <protection/>
    </xf>
    <xf numFmtId="168" fontId="44" fillId="34" borderId="247" xfId="62" applyNumberFormat="1" applyFont="1" applyFill="1" applyBorder="1" applyAlignment="1">
      <alignment horizontal="center"/>
      <protection/>
    </xf>
    <xf numFmtId="0" fontId="44" fillId="34" borderId="226" xfId="62" applyFont="1" applyFill="1" applyBorder="1">
      <alignment/>
      <protection/>
    </xf>
    <xf numFmtId="0" fontId="44" fillId="34" borderId="84" xfId="62" applyFont="1" applyFill="1" applyBorder="1">
      <alignment/>
      <protection/>
    </xf>
    <xf numFmtId="0" fontId="44" fillId="34" borderId="226" xfId="62" applyFont="1" applyFill="1" applyBorder="1" applyProtection="1">
      <alignment/>
      <protection/>
    </xf>
    <xf numFmtId="0" fontId="44" fillId="34" borderId="84" xfId="62" applyFont="1" applyFill="1" applyBorder="1" applyProtection="1">
      <alignment/>
      <protection/>
    </xf>
    <xf numFmtId="0" fontId="44" fillId="0" borderId="248" xfId="62" applyFont="1" applyFill="1" applyBorder="1" applyAlignment="1" applyProtection="1">
      <alignment horizontal="center"/>
      <protection locked="0"/>
    </xf>
    <xf numFmtId="0" fontId="44" fillId="0" borderId="248" xfId="62" applyFont="1" applyFill="1" applyBorder="1" applyAlignment="1">
      <alignment horizontal="center"/>
      <protection/>
    </xf>
    <xf numFmtId="0" fontId="44" fillId="0" borderId="249" xfId="62" applyFont="1" applyFill="1" applyBorder="1" applyAlignment="1">
      <alignment horizontal="center"/>
      <protection/>
    </xf>
    <xf numFmtId="0" fontId="44" fillId="0" borderId="250" xfId="62" applyNumberFormat="1" applyFont="1" applyFill="1" applyBorder="1" applyAlignment="1" applyProtection="1">
      <alignment horizontal="center"/>
      <protection locked="0"/>
    </xf>
    <xf numFmtId="168" fontId="44" fillId="34" borderId="19"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2"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12"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0" fontId="14" fillId="0" borderId="0" xfId="0" applyFont="1" applyFill="1" applyBorder="1" applyAlignment="1">
      <alignment/>
    </xf>
    <xf numFmtId="0" fontId="0" fillId="0" borderId="0" xfId="0" applyFont="1" applyFill="1" applyAlignment="1">
      <alignment/>
    </xf>
    <xf numFmtId="0" fontId="12" fillId="0" borderId="0" xfId="0" applyFont="1" applyFill="1" applyBorder="1" applyAlignment="1">
      <alignment horizontal="center"/>
    </xf>
    <xf numFmtId="0" fontId="0" fillId="0" borderId="0" xfId="0" applyFont="1" applyFill="1" applyAlignment="1">
      <alignment/>
    </xf>
    <xf numFmtId="0" fontId="13" fillId="0" borderId="0" xfId="0" applyFont="1" applyFill="1" applyBorder="1" applyAlignment="1">
      <alignment horizontal="right"/>
    </xf>
    <xf numFmtId="1" fontId="12" fillId="0" borderId="0" xfId="0" applyNumberFormat="1" applyFont="1" applyFill="1" applyBorder="1" applyAlignment="1">
      <alignment horizontal="center"/>
    </xf>
    <xf numFmtId="0" fontId="0" fillId="0" borderId="0" xfId="0" applyFont="1" applyFill="1" applyAlignment="1">
      <alignment/>
    </xf>
    <xf numFmtId="2" fontId="15" fillId="0" borderId="0" xfId="0" applyNumberFormat="1" applyFont="1" applyFill="1" applyBorder="1" applyAlignment="1">
      <alignment horizontal="right"/>
    </xf>
    <xf numFmtId="168" fontId="19"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0" fontId="0" fillId="0" borderId="0" xfId="0" applyFont="1" applyFill="1" applyAlignment="1">
      <alignment/>
    </xf>
    <xf numFmtId="2" fontId="16"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2" fontId="17"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2" fontId="4" fillId="0" borderId="0" xfId="0" applyNumberFormat="1" applyFont="1" applyFill="1" applyBorder="1" applyAlignment="1">
      <alignment/>
    </xf>
    <xf numFmtId="2" fontId="4" fillId="0" borderId="0" xfId="0" applyNumberFormat="1" applyFont="1" applyFill="1" applyAlignment="1">
      <alignment/>
    </xf>
    <xf numFmtId="0" fontId="0" fillId="0" borderId="26" xfId="0" applyFill="1" applyBorder="1" applyAlignment="1">
      <alignment/>
    </xf>
    <xf numFmtId="0" fontId="0" fillId="0" borderId="27" xfId="0" applyFill="1" applyBorder="1" applyAlignment="1">
      <alignment/>
    </xf>
    <xf numFmtId="1" fontId="37"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1" fillId="0" borderId="27" xfId="0" applyFont="1" applyFill="1" applyBorder="1" applyAlignment="1">
      <alignment/>
    </xf>
    <xf numFmtId="2" fontId="4"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166" fontId="27" fillId="0" borderId="0" xfId="0" applyNumberFormat="1" applyFont="1" applyFill="1" applyBorder="1" applyAlignment="1">
      <alignment horizontal="center"/>
    </xf>
    <xf numFmtId="166" fontId="29" fillId="0" borderId="0" xfId="0" applyNumberFormat="1" applyFont="1" applyFill="1" applyBorder="1" applyAlignment="1">
      <alignment horizontal="center"/>
    </xf>
    <xf numFmtId="175" fontId="0" fillId="0" borderId="27" xfId="0" applyNumberFormat="1" applyFill="1" applyBorder="1" applyAlignment="1">
      <alignment/>
    </xf>
    <xf numFmtId="175" fontId="0" fillId="0" borderId="0" xfId="0" applyNumberFormat="1" applyFill="1" applyAlignment="1">
      <alignment/>
    </xf>
    <xf numFmtId="175" fontId="0" fillId="0" borderId="0" xfId="0" applyNumberFormat="1" applyFill="1" applyBorder="1" applyAlignment="1">
      <alignment/>
    </xf>
    <xf numFmtId="175" fontId="12" fillId="0" borderId="0" xfId="0" applyNumberFormat="1" applyFont="1" applyFill="1" applyBorder="1" applyAlignment="1">
      <alignment/>
    </xf>
    <xf numFmtId="175" fontId="4" fillId="0" borderId="0" xfId="0" applyNumberFormat="1" applyFont="1" applyFill="1" applyBorder="1" applyAlignment="1">
      <alignment horizontal="center"/>
    </xf>
    <xf numFmtId="0" fontId="0" fillId="0" borderId="52" xfId="0" applyFill="1" applyBorder="1" applyAlignment="1">
      <alignment/>
    </xf>
    <xf numFmtId="175" fontId="4" fillId="0" borderId="0" xfId="0" applyNumberFormat="1" applyFont="1" applyFill="1" applyAlignment="1">
      <alignment horizontal="center"/>
    </xf>
    <xf numFmtId="175" fontId="4" fillId="0" borderId="0" xfId="0" applyNumberFormat="1" applyFont="1" applyFill="1" applyBorder="1" applyAlignment="1">
      <alignment/>
    </xf>
    <xf numFmtId="175" fontId="4" fillId="0" borderId="0" xfId="0" applyNumberFormat="1" applyFont="1" applyFill="1" applyAlignment="1">
      <alignment/>
    </xf>
    <xf numFmtId="2" fontId="0" fillId="0" borderId="0" xfId="0" applyNumberFormat="1" applyFill="1" applyBorder="1" applyAlignment="1">
      <alignment/>
    </xf>
    <xf numFmtId="2" fontId="0" fillId="0" borderId="0" xfId="0" applyNumberFormat="1" applyFill="1" applyBorder="1" applyAlignment="1">
      <alignment horizontal="center"/>
    </xf>
    <xf numFmtId="166" fontId="4" fillId="0" borderId="19" xfId="0" applyNumberFormat="1" applyFont="1" applyFill="1" applyBorder="1" applyAlignment="1">
      <alignment horizontal="center"/>
    </xf>
    <xf numFmtId="0" fontId="4" fillId="0" borderId="19" xfId="0" applyFont="1" applyFill="1" applyBorder="1" applyAlignment="1">
      <alignment/>
    </xf>
    <xf numFmtId="0" fontId="24" fillId="0" borderId="19" xfId="0" applyFont="1" applyFill="1" applyBorder="1" applyAlignment="1">
      <alignment horizontal="right"/>
    </xf>
    <xf numFmtId="0" fontId="4" fillId="0" borderId="19" xfId="0" applyFont="1" applyFill="1" applyBorder="1" applyAlignment="1">
      <alignment horizontal="center"/>
    </xf>
    <xf numFmtId="0" fontId="26" fillId="0" borderId="19" xfId="0" applyFont="1" applyFill="1" applyBorder="1" applyAlignment="1">
      <alignment horizontal="right"/>
    </xf>
    <xf numFmtId="0" fontId="28" fillId="0" borderId="19" xfId="0" applyFont="1" applyFill="1" applyBorder="1" applyAlignment="1">
      <alignment horizontal="right"/>
    </xf>
    <xf numFmtId="0" fontId="9" fillId="0" borderId="19" xfId="0" applyFont="1" applyFill="1" applyBorder="1" applyAlignment="1">
      <alignment horizontal="right"/>
    </xf>
    <xf numFmtId="175" fontId="4" fillId="0" borderId="19" xfId="0" applyNumberFormat="1" applyFont="1" applyFill="1" applyBorder="1" applyAlignment="1">
      <alignment horizontal="center"/>
    </xf>
    <xf numFmtId="0" fontId="24" fillId="0" borderId="251" xfId="0" applyFont="1" applyFill="1" applyBorder="1" applyAlignment="1">
      <alignment horizontal="right"/>
    </xf>
    <xf numFmtId="0" fontId="26" fillId="0" borderId="251" xfId="0" applyFont="1" applyFill="1" applyBorder="1" applyAlignment="1">
      <alignment horizontal="right"/>
    </xf>
    <xf numFmtId="0" fontId="28" fillId="0" borderId="251" xfId="0" applyFont="1" applyFill="1" applyBorder="1" applyAlignment="1">
      <alignment horizontal="right"/>
    </xf>
    <xf numFmtId="0" fontId="9" fillId="0" borderId="251" xfId="0" applyFont="1" applyFill="1" applyBorder="1" applyAlignment="1">
      <alignment horizontal="right"/>
    </xf>
    <xf numFmtId="0" fontId="44" fillId="0" borderId="65" xfId="0" applyFont="1" applyFill="1" applyBorder="1" applyAlignment="1">
      <alignment vertical="center"/>
    </xf>
    <xf numFmtId="0" fontId="44" fillId="0" borderId="0" xfId="0" applyFont="1" applyFill="1" applyAlignment="1">
      <alignment horizontal="right" vertical="center"/>
    </xf>
    <xf numFmtId="2" fontId="44" fillId="0" borderId="19" xfId="0" applyNumberFormat="1" applyFont="1" applyFill="1" applyBorder="1" applyAlignment="1">
      <alignment horizontal="center" vertical="center"/>
    </xf>
    <xf numFmtId="175" fontId="44" fillId="0" borderId="19" xfId="0" applyNumberFormat="1" applyFont="1" applyFill="1" applyBorder="1" applyAlignment="1">
      <alignment horizontal="center" vertical="center"/>
    </xf>
    <xf numFmtId="166" fontId="44" fillId="0" borderId="19" xfId="0" applyNumberFormat="1" applyFont="1" applyFill="1" applyBorder="1" applyAlignment="1">
      <alignment vertical="center"/>
    </xf>
    <xf numFmtId="0" fontId="152" fillId="0" borderId="19" xfId="0" applyFont="1" applyFill="1" applyBorder="1" applyAlignment="1">
      <alignment vertical="center"/>
    </xf>
    <xf numFmtId="0" fontId="135" fillId="0" borderId="0" xfId="0" applyFont="1" applyFill="1" applyAlignment="1">
      <alignment vertical="center"/>
    </xf>
    <xf numFmtId="0" fontId="56" fillId="0" borderId="19" xfId="0" applyFont="1" applyFill="1" applyBorder="1" applyAlignment="1">
      <alignment horizontal="right" vertical="center"/>
    </xf>
    <xf numFmtId="165" fontId="44" fillId="0" borderId="19" xfId="0" applyNumberFormat="1" applyFont="1" applyFill="1" applyBorder="1" applyAlignment="1">
      <alignment vertical="center"/>
    </xf>
    <xf numFmtId="2" fontId="44" fillId="0" borderId="19" xfId="0" applyNumberFormat="1" applyFont="1" applyFill="1" applyBorder="1" applyAlignment="1">
      <alignment vertical="center"/>
    </xf>
    <xf numFmtId="2" fontId="44" fillId="0" borderId="0" xfId="0" applyNumberFormat="1" applyFont="1" applyFill="1" applyAlignment="1">
      <alignment vertical="center"/>
    </xf>
    <xf numFmtId="0" fontId="44" fillId="0" borderId="19" xfId="0" applyFont="1" applyFill="1" applyBorder="1" applyAlignment="1">
      <alignment horizontal="right" vertical="center"/>
    </xf>
    <xf numFmtId="2" fontId="44" fillId="0" borderId="0" xfId="0" applyNumberFormat="1" applyFont="1" applyFill="1" applyAlignment="1">
      <alignment horizontal="center" vertical="center"/>
    </xf>
    <xf numFmtId="1" fontId="152" fillId="0" borderId="19" xfId="0" applyNumberFormat="1" applyFont="1" applyFill="1" applyBorder="1" applyAlignment="1">
      <alignment horizontal="center" vertical="center"/>
    </xf>
    <xf numFmtId="1" fontId="44" fillId="0" borderId="19" xfId="0" applyNumberFormat="1" applyFont="1" applyFill="1" applyBorder="1" applyAlignment="1">
      <alignment horizontal="center" vertical="center"/>
    </xf>
    <xf numFmtId="2" fontId="56" fillId="0" borderId="19" xfId="0" applyNumberFormat="1" applyFont="1" applyFill="1" applyBorder="1" applyAlignment="1">
      <alignment horizontal="center" vertical="center"/>
    </xf>
    <xf numFmtId="2" fontId="153" fillId="0" borderId="19" xfId="0" applyNumberFormat="1" applyFont="1" applyFill="1" applyBorder="1" applyAlignment="1">
      <alignment horizontal="center" vertical="center"/>
    </xf>
    <xf numFmtId="2" fontId="56" fillId="0" borderId="0" xfId="0" applyNumberFormat="1" applyFont="1" applyFill="1" applyAlignment="1">
      <alignment horizontal="center" vertical="center"/>
    </xf>
    <xf numFmtId="2" fontId="152" fillId="0" borderId="19" xfId="0" applyNumberFormat="1" applyFont="1" applyFill="1" applyBorder="1" applyAlignment="1">
      <alignment horizontal="center" vertical="center"/>
    </xf>
    <xf numFmtId="2" fontId="44" fillId="0" borderId="0" xfId="0" applyNumberFormat="1" applyFont="1" applyFill="1" applyBorder="1" applyAlignment="1">
      <alignment horizontal="center" vertical="center"/>
    </xf>
    <xf numFmtId="173" fontId="44" fillId="0" borderId="19" xfId="0" applyNumberFormat="1" applyFont="1" applyFill="1" applyBorder="1" applyAlignment="1">
      <alignment horizontal="center" vertical="center"/>
    </xf>
    <xf numFmtId="175" fontId="44" fillId="0" borderId="0" xfId="0" applyNumberFormat="1" applyFont="1" applyFill="1" applyAlignment="1">
      <alignment vertical="center"/>
    </xf>
    <xf numFmtId="175" fontId="56" fillId="0" borderId="0" xfId="0" applyNumberFormat="1" applyFont="1" applyFill="1" applyAlignment="1">
      <alignment horizontal="right" vertical="center"/>
    </xf>
    <xf numFmtId="175" fontId="44" fillId="0" borderId="252" xfId="0" applyNumberFormat="1" applyFont="1" applyFill="1" applyBorder="1" applyAlignment="1">
      <alignment horizontal="center" vertical="center"/>
    </xf>
    <xf numFmtId="175" fontId="152" fillId="0" borderId="252" xfId="0" applyNumberFormat="1" applyFont="1" applyFill="1" applyBorder="1" applyAlignment="1">
      <alignment horizontal="center" vertical="center"/>
    </xf>
    <xf numFmtId="175" fontId="44" fillId="0" borderId="20" xfId="0" applyNumberFormat="1" applyFont="1" applyFill="1" applyBorder="1" applyAlignment="1">
      <alignment horizontal="center" vertical="center"/>
    </xf>
    <xf numFmtId="175" fontId="44" fillId="0" borderId="0" xfId="0" applyNumberFormat="1" applyFont="1" applyFill="1" applyBorder="1" applyAlignment="1">
      <alignment horizontal="center" vertical="center"/>
    </xf>
    <xf numFmtId="2" fontId="152" fillId="0" borderId="0" xfId="0" applyNumberFormat="1" applyFont="1" applyFill="1" applyAlignment="1">
      <alignment horizontal="center" vertical="center"/>
    </xf>
    <xf numFmtId="2" fontId="44" fillId="0" borderId="0" xfId="0" applyNumberFormat="1" applyFont="1" applyFill="1" applyAlignment="1">
      <alignment horizontal="right" vertical="center"/>
    </xf>
    <xf numFmtId="165" fontId="44" fillId="0" borderId="0" xfId="0" applyNumberFormat="1" applyFont="1" applyFill="1" applyAlignment="1">
      <alignment horizontal="center" vertical="center"/>
    </xf>
    <xf numFmtId="0" fontId="56" fillId="0" borderId="0" xfId="0" applyFont="1" applyFill="1" applyAlignment="1">
      <alignment vertical="center"/>
    </xf>
    <xf numFmtId="0" fontId="152" fillId="0" borderId="0" xfId="0" applyFont="1" applyFill="1" applyAlignment="1">
      <alignment horizontal="center" vertical="center"/>
    </xf>
    <xf numFmtId="0" fontId="56" fillId="0" borderId="0" xfId="0" applyFont="1" applyFill="1" applyAlignment="1">
      <alignment horizontal="right" vertical="center"/>
    </xf>
    <xf numFmtId="2" fontId="153" fillId="0" borderId="0" xfId="0" applyNumberFormat="1" applyFont="1" applyFill="1" applyAlignment="1">
      <alignment horizontal="center" vertical="center"/>
    </xf>
    <xf numFmtId="2" fontId="56" fillId="0" borderId="0" xfId="0" applyNumberFormat="1" applyFont="1" applyFill="1" applyBorder="1" applyAlignment="1">
      <alignment horizontal="center" vertical="center"/>
    </xf>
    <xf numFmtId="175" fontId="44" fillId="0" borderId="23" xfId="0" applyNumberFormat="1" applyFont="1" applyFill="1" applyBorder="1" applyAlignment="1">
      <alignment horizontal="center" vertical="center"/>
    </xf>
    <xf numFmtId="175" fontId="152" fillId="0" borderId="23" xfId="0" applyNumberFormat="1" applyFont="1" applyFill="1" applyBorder="1" applyAlignment="1">
      <alignment horizontal="center" vertical="center"/>
    </xf>
    <xf numFmtId="0" fontId="152" fillId="0" borderId="0" xfId="0" applyFont="1" applyFill="1" applyAlignment="1">
      <alignment vertical="center"/>
    </xf>
    <xf numFmtId="2" fontId="152" fillId="0" borderId="0" xfId="0" applyNumberFormat="1" applyFont="1" applyFill="1" applyAlignment="1">
      <alignment vertical="center"/>
    </xf>
    <xf numFmtId="175" fontId="44" fillId="0" borderId="24" xfId="0" applyNumberFormat="1" applyFont="1" applyFill="1" applyBorder="1" applyAlignment="1">
      <alignment horizontal="center" vertical="center"/>
    </xf>
    <xf numFmtId="175" fontId="152" fillId="0" borderId="24" xfId="0" applyNumberFormat="1" applyFont="1" applyFill="1" applyBorder="1" applyAlignment="1">
      <alignment horizontal="center" vertical="center"/>
    </xf>
    <xf numFmtId="0" fontId="44" fillId="0" borderId="86" xfId="0" applyFont="1" applyFill="1" applyBorder="1" applyAlignment="1">
      <alignment vertical="center"/>
    </xf>
    <xf numFmtId="0" fontId="44" fillId="0" borderId="87" xfId="0" applyFont="1" applyFill="1" applyBorder="1" applyAlignment="1">
      <alignment vertical="center"/>
    </xf>
    <xf numFmtId="0" fontId="44" fillId="0" borderId="88" xfId="0" applyFont="1" applyFill="1" applyBorder="1" applyAlignment="1">
      <alignment vertical="center"/>
    </xf>
    <xf numFmtId="0" fontId="44" fillId="0" borderId="91" xfId="0" applyFont="1" applyFill="1" applyBorder="1" applyAlignment="1">
      <alignment vertical="center"/>
    </xf>
    <xf numFmtId="0" fontId="44" fillId="0" borderId="84" xfId="0" applyFont="1" applyFill="1" applyBorder="1" applyAlignment="1">
      <alignment vertical="center"/>
    </xf>
    <xf numFmtId="0" fontId="44" fillId="0" borderId="92" xfId="0" applyFont="1" applyFill="1" applyBorder="1" applyAlignment="1">
      <alignment vertical="center"/>
    </xf>
    <xf numFmtId="0" fontId="44" fillId="0" borderId="45" xfId="0" applyFont="1" applyFill="1" applyBorder="1" applyAlignment="1">
      <alignment vertical="center"/>
    </xf>
    <xf numFmtId="2" fontId="44" fillId="0" borderId="68" xfId="0" applyNumberFormat="1" applyFont="1" applyFill="1" applyBorder="1" applyAlignment="1">
      <alignment vertical="center"/>
    </xf>
    <xf numFmtId="2" fontId="44" fillId="0" borderId="0" xfId="0" applyNumberFormat="1" applyFont="1" applyFill="1" applyBorder="1" applyAlignment="1">
      <alignment vertical="center"/>
    </xf>
    <xf numFmtId="2" fontId="44" fillId="0" borderId="49" xfId="0" applyNumberFormat="1" applyFont="1" applyFill="1" applyBorder="1" applyAlignment="1">
      <alignment vertical="center"/>
    </xf>
    <xf numFmtId="1" fontId="85" fillId="0" borderId="19" xfId="0" applyNumberFormat="1" applyFont="1" applyFill="1" applyBorder="1" applyAlignment="1">
      <alignment horizontal="center" vertical="center"/>
    </xf>
    <xf numFmtId="0" fontId="44" fillId="0" borderId="68" xfId="0" applyFont="1" applyFill="1" applyBorder="1" applyAlignment="1">
      <alignment vertical="center"/>
    </xf>
    <xf numFmtId="0" fontId="44" fillId="0" borderId="49" xfId="0" applyFont="1" applyFill="1" applyBorder="1" applyAlignment="1">
      <alignment vertical="center"/>
    </xf>
    <xf numFmtId="2" fontId="84" fillId="0" borderId="19" xfId="0" applyNumberFormat="1" applyFont="1" applyFill="1" applyBorder="1" applyAlignment="1">
      <alignment horizontal="center" vertical="center"/>
    </xf>
    <xf numFmtId="2" fontId="85" fillId="0" borderId="19" xfId="0" applyNumberFormat="1" applyFont="1" applyFill="1" applyBorder="1" applyAlignment="1">
      <alignment horizontal="center" vertical="center"/>
    </xf>
    <xf numFmtId="2" fontId="44" fillId="0" borderId="68" xfId="0" applyNumberFormat="1" applyFont="1" applyFill="1" applyBorder="1" applyAlignment="1">
      <alignment horizontal="center" vertical="center"/>
    </xf>
    <xf numFmtId="2" fontId="44" fillId="0" borderId="49" xfId="0" applyNumberFormat="1" applyFont="1" applyFill="1" applyBorder="1" applyAlignment="1">
      <alignment horizontal="center" vertical="center"/>
    </xf>
    <xf numFmtId="2" fontId="56" fillId="0" borderId="68" xfId="0" applyNumberFormat="1" applyFont="1" applyFill="1" applyBorder="1" applyAlignment="1">
      <alignment horizontal="center" vertical="center"/>
    </xf>
    <xf numFmtId="2" fontId="56" fillId="0" borderId="49" xfId="0" applyNumberFormat="1" applyFont="1" applyFill="1" applyBorder="1" applyAlignment="1">
      <alignment horizontal="center" vertical="center"/>
    </xf>
    <xf numFmtId="175" fontId="85" fillId="0" borderId="252" xfId="0" applyNumberFormat="1" applyFont="1" applyFill="1" applyBorder="1" applyAlignment="1">
      <alignment horizontal="center" vertical="center"/>
    </xf>
    <xf numFmtId="2" fontId="85" fillId="0" borderId="0" xfId="0" applyNumberFormat="1" applyFont="1" applyFill="1" applyAlignment="1">
      <alignment horizontal="center" vertical="center"/>
    </xf>
    <xf numFmtId="175" fontId="44" fillId="0" borderId="253" xfId="0" applyNumberFormat="1" applyFont="1" applyFill="1" applyBorder="1" applyAlignment="1">
      <alignment horizontal="center" vertical="center"/>
    </xf>
    <xf numFmtId="175" fontId="44" fillId="0" borderId="254" xfId="0" applyNumberFormat="1" applyFont="1" applyFill="1" applyBorder="1" applyAlignment="1">
      <alignment horizontal="center" vertical="center"/>
    </xf>
    <xf numFmtId="0" fontId="85" fillId="0" borderId="0" xfId="0" applyFont="1" applyFill="1" applyAlignment="1">
      <alignment horizontal="center" vertical="center"/>
    </xf>
    <xf numFmtId="2" fontId="84" fillId="0" borderId="0" xfId="0" applyNumberFormat="1" applyFont="1" applyFill="1" applyAlignment="1">
      <alignment horizontal="center" vertical="center"/>
    </xf>
    <xf numFmtId="175" fontId="44" fillId="0" borderId="255" xfId="0" applyNumberFormat="1" applyFont="1" applyFill="1" applyBorder="1" applyAlignment="1">
      <alignment horizontal="center" vertical="center"/>
    </xf>
    <xf numFmtId="175" fontId="44" fillId="0" borderId="256" xfId="0" applyNumberFormat="1" applyFont="1" applyFill="1" applyBorder="1" applyAlignment="1">
      <alignment horizontal="center" vertical="center"/>
    </xf>
    <xf numFmtId="175" fontId="44" fillId="0" borderId="257" xfId="0" applyNumberFormat="1" applyFont="1" applyFill="1" applyBorder="1" applyAlignment="1">
      <alignment horizontal="center" vertical="center"/>
    </xf>
    <xf numFmtId="0" fontId="85" fillId="0" borderId="0" xfId="0" applyFont="1" applyFill="1" applyAlignment="1" applyProtection="1">
      <alignment horizontal="right"/>
      <protection locked="0"/>
    </xf>
    <xf numFmtId="0" fontId="85" fillId="0" borderId="0" xfId="0" applyFont="1" applyFill="1" applyBorder="1" applyAlignment="1" applyProtection="1">
      <alignment horizontal="right"/>
      <protection locked="0"/>
    </xf>
    <xf numFmtId="0" fontId="85" fillId="0" borderId="16" xfId="0" applyFont="1" applyFill="1" applyBorder="1" applyAlignment="1" applyProtection="1">
      <alignment horizontal="right"/>
      <protection locked="0"/>
    </xf>
    <xf numFmtId="0" fontId="85" fillId="0" borderId="18" xfId="0" applyFont="1" applyFill="1" applyBorder="1" applyAlignment="1">
      <alignment horizontal="right"/>
    </xf>
    <xf numFmtId="0" fontId="85" fillId="0" borderId="21" xfId="0" applyFont="1" applyFill="1" applyBorder="1" applyAlignment="1">
      <alignment horizontal="right"/>
    </xf>
    <xf numFmtId="11" fontId="85" fillId="0" borderId="0" xfId="0" applyNumberFormat="1" applyFont="1" applyFill="1" applyAlignment="1">
      <alignment/>
    </xf>
    <xf numFmtId="0" fontId="84" fillId="0" borderId="16" xfId="0" applyFont="1" applyFill="1" applyBorder="1" applyAlignment="1">
      <alignment/>
    </xf>
    <xf numFmtId="0" fontId="84" fillId="0" borderId="17" xfId="0" applyFont="1" applyFill="1" applyBorder="1" applyAlignment="1">
      <alignment/>
    </xf>
    <xf numFmtId="0" fontId="85" fillId="0" borderId="18" xfId="0" applyFont="1" applyFill="1" applyBorder="1" applyAlignment="1">
      <alignment/>
    </xf>
    <xf numFmtId="0" fontId="85" fillId="0" borderId="18" xfId="0" applyFont="1" applyFill="1" applyBorder="1" applyAlignment="1">
      <alignment vertical="center"/>
    </xf>
    <xf numFmtId="0" fontId="85" fillId="0" borderId="0" xfId="0" applyFont="1" applyFill="1" applyBorder="1" applyAlignment="1">
      <alignment vertical="center"/>
    </xf>
    <xf numFmtId="0" fontId="85" fillId="0" borderId="16" xfId="0" applyFont="1" applyFill="1" applyBorder="1" applyAlignment="1">
      <alignment vertical="center"/>
    </xf>
    <xf numFmtId="0" fontId="85" fillId="0" borderId="17" xfId="0" applyFont="1" applyFill="1" applyBorder="1" applyAlignment="1" applyProtection="1">
      <alignment horizontal="right" vertical="center"/>
      <protection locked="0"/>
    </xf>
    <xf numFmtId="0" fontId="85" fillId="0" borderId="26" xfId="0" applyFont="1" applyFill="1" applyBorder="1" applyAlignment="1" applyProtection="1">
      <alignment horizontal="center" vertical="center"/>
      <protection locked="0"/>
    </xf>
    <xf numFmtId="0" fontId="85" fillId="0" borderId="0" xfId="0" applyFont="1" applyFill="1" applyBorder="1" applyAlignment="1" applyProtection="1">
      <alignment horizontal="right" vertical="center"/>
      <protection locked="0"/>
    </xf>
    <xf numFmtId="0" fontId="85" fillId="0" borderId="27" xfId="0" applyFont="1" applyFill="1" applyBorder="1" applyAlignment="1" applyProtection="1">
      <alignment horizontal="center" vertical="center"/>
      <protection locked="0"/>
    </xf>
    <xf numFmtId="0" fontId="85" fillId="0" borderId="27" xfId="0" applyFont="1" applyFill="1" applyBorder="1" applyAlignment="1">
      <alignment vertical="center"/>
    </xf>
    <xf numFmtId="0" fontId="85" fillId="0" borderId="21" xfId="0" applyFont="1" applyFill="1" applyBorder="1" applyAlignment="1">
      <alignment vertical="center"/>
    </xf>
    <xf numFmtId="0" fontId="85" fillId="0" borderId="22" xfId="0" applyFont="1" applyFill="1" applyBorder="1" applyAlignment="1" applyProtection="1">
      <alignment horizontal="right" vertical="center"/>
      <protection locked="0"/>
    </xf>
    <xf numFmtId="0" fontId="85" fillId="0" borderId="52" xfId="0" applyFont="1" applyFill="1" applyBorder="1" applyAlignment="1">
      <alignment vertical="center"/>
    </xf>
    <xf numFmtId="0" fontId="85" fillId="0" borderId="258" xfId="0" applyFont="1" applyFill="1" applyBorder="1" applyAlignment="1">
      <alignment/>
    </xf>
    <xf numFmtId="0" fontId="85" fillId="0" borderId="259" xfId="0" applyFont="1" applyFill="1" applyBorder="1" applyAlignment="1">
      <alignment/>
    </xf>
    <xf numFmtId="0" fontId="85" fillId="0" borderId="251" xfId="0" applyFont="1" applyFill="1" applyBorder="1" applyAlignment="1">
      <alignment/>
    </xf>
    <xf numFmtId="0" fontId="85" fillId="0" borderId="260" xfId="0" applyFont="1" applyFill="1" applyBorder="1" applyAlignment="1">
      <alignment/>
    </xf>
    <xf numFmtId="0" fontId="85" fillId="0" borderId="261" xfId="0" applyFont="1" applyFill="1" applyBorder="1" applyAlignment="1">
      <alignment/>
    </xf>
    <xf numFmtId="0" fontId="85" fillId="0" borderId="18" xfId="61" applyFont="1" applyFill="1" applyBorder="1" applyAlignment="1">
      <alignment horizontal="left"/>
      <protection/>
    </xf>
    <xf numFmtId="0" fontId="85" fillId="0" borderId="0" xfId="61" applyFont="1" applyFill="1" applyBorder="1" applyAlignment="1">
      <alignment horizontal="left"/>
      <protection/>
    </xf>
    <xf numFmtId="0" fontId="85" fillId="0" borderId="226" xfId="61" applyFont="1" applyFill="1" applyBorder="1" applyAlignment="1">
      <alignment horizontal="left"/>
      <protection/>
    </xf>
    <xf numFmtId="0" fontId="85" fillId="0" borderId="84" xfId="61" applyFont="1" applyFill="1" applyBorder="1" applyAlignment="1">
      <alignment horizontal="left"/>
      <protection/>
    </xf>
    <xf numFmtId="0" fontId="85" fillId="0" borderId="84" xfId="0" applyFont="1" applyFill="1" applyBorder="1" applyAlignment="1">
      <alignment/>
    </xf>
    <xf numFmtId="11" fontId="85" fillId="0" borderId="91" xfId="0" applyNumberFormat="1" applyFont="1" applyFill="1" applyBorder="1" applyAlignment="1">
      <alignment/>
    </xf>
    <xf numFmtId="168" fontId="85" fillId="0" borderId="84" xfId="0" applyNumberFormat="1" applyFont="1" applyFill="1" applyBorder="1" applyAlignment="1">
      <alignment/>
    </xf>
    <xf numFmtId="11" fontId="85" fillId="0" borderId="225" xfId="0" applyNumberFormat="1" applyFont="1" applyFill="1" applyBorder="1" applyAlignment="1">
      <alignment/>
    </xf>
    <xf numFmtId="0" fontId="133" fillId="0" borderId="16" xfId="61" applyFont="1" applyFill="1" applyBorder="1" applyAlignment="1">
      <alignment horizontal="left"/>
      <protection/>
    </xf>
    <xf numFmtId="0" fontId="85" fillId="0" borderId="21" xfId="61" applyFont="1" applyFill="1" applyBorder="1" applyAlignment="1">
      <alignment horizontal="left"/>
      <protection/>
    </xf>
    <xf numFmtId="11" fontId="85" fillId="0" borderId="52" xfId="0" applyNumberFormat="1" applyFont="1" applyFill="1" applyBorder="1" applyAlignment="1">
      <alignment/>
    </xf>
    <xf numFmtId="0" fontId="133" fillId="0" borderId="16" xfId="0" applyFont="1" applyFill="1" applyBorder="1" applyAlignment="1">
      <alignment/>
    </xf>
    <xf numFmtId="0" fontId="85" fillId="0" borderId="22" xfId="61" applyFont="1" applyFill="1" applyBorder="1" applyAlignment="1">
      <alignment horizontal="left"/>
      <protection/>
    </xf>
    <xf numFmtId="0" fontId="85" fillId="0" borderId="17" xfId="61" applyFont="1" applyFill="1" applyBorder="1" applyAlignment="1">
      <alignment horizontal="left"/>
      <protection/>
    </xf>
    <xf numFmtId="0" fontId="133" fillId="0" borderId="18" xfId="0" applyFont="1" applyFill="1" applyBorder="1" applyAlignment="1">
      <alignment/>
    </xf>
    <xf numFmtId="0" fontId="56" fillId="0" borderId="16" xfId="0" applyFont="1" applyFill="1" applyBorder="1" applyAlignment="1">
      <alignment/>
    </xf>
    <xf numFmtId="0" fontId="44" fillId="0" borderId="17" xfId="0" applyFont="1" applyFill="1" applyBorder="1" applyAlignment="1">
      <alignment/>
    </xf>
    <xf numFmtId="0" fontId="44" fillId="0" borderId="26" xfId="0" applyFont="1" applyFill="1" applyBorder="1" applyAlignment="1">
      <alignment/>
    </xf>
    <xf numFmtId="0" fontId="44" fillId="0" borderId="21" xfId="0" applyFont="1" applyFill="1" applyBorder="1" applyAlignment="1">
      <alignment/>
    </xf>
    <xf numFmtId="0" fontId="44" fillId="0" borderId="22" xfId="0" applyFont="1" applyFill="1" applyBorder="1" applyAlignment="1">
      <alignment/>
    </xf>
    <xf numFmtId="11" fontId="44" fillId="0" borderId="52" xfId="0" applyNumberFormat="1" applyFont="1" applyFill="1" applyBorder="1" applyAlignment="1">
      <alignment/>
    </xf>
    <xf numFmtId="0" fontId="44" fillId="0" borderId="0" xfId="0" applyFont="1" applyFill="1" applyAlignment="1">
      <alignment horizontal="center" vertical="center"/>
    </xf>
    <xf numFmtId="0" fontId="44" fillId="0" borderId="0" xfId="0" applyFont="1" applyFill="1" applyAlignment="1">
      <alignment horizontal="left" vertical="center"/>
    </xf>
    <xf numFmtId="0" fontId="155" fillId="34" borderId="0" xfId="59" applyFont="1" applyFill="1" applyAlignment="1">
      <alignment vertical="center"/>
      <protection/>
    </xf>
    <xf numFmtId="0" fontId="156" fillId="34" borderId="65" xfId="0" applyFont="1" applyFill="1" applyBorder="1" applyAlignment="1">
      <alignment vertical="center"/>
    </xf>
    <xf numFmtId="2" fontId="156" fillId="34" borderId="0" xfId="0" applyNumberFormat="1" applyFont="1" applyFill="1" applyAlignment="1">
      <alignment/>
    </xf>
    <xf numFmtId="0" fontId="83" fillId="34" borderId="65" xfId="0" applyFont="1" applyFill="1" applyBorder="1" applyAlignment="1">
      <alignment vertical="center" wrapText="1"/>
    </xf>
    <xf numFmtId="0" fontId="156" fillId="34" borderId="0" xfId="0" applyFont="1" applyFill="1" applyBorder="1" applyAlignment="1">
      <alignment horizontal="center" vertical="center"/>
    </xf>
    <xf numFmtId="0" fontId="156" fillId="34" borderId="0" xfId="62" applyFont="1" applyFill="1" applyBorder="1">
      <alignment/>
      <protection/>
    </xf>
    <xf numFmtId="0" fontId="85" fillId="34" borderId="87" xfId="0" applyFont="1" applyFill="1" applyBorder="1" applyAlignment="1">
      <alignment horizontal="left" vertical="center"/>
    </xf>
    <xf numFmtId="178" fontId="111" fillId="34" borderId="241" xfId="0" applyNumberFormat="1" applyFont="1" applyFill="1" applyBorder="1" applyAlignment="1">
      <alignment horizontal="center"/>
    </xf>
    <xf numFmtId="0" fontId="44" fillId="0" borderId="90" xfId="0" applyFont="1" applyFill="1" applyBorder="1" applyAlignment="1">
      <alignment horizontal="center"/>
    </xf>
    <xf numFmtId="0" fontId="125" fillId="34" borderId="0" xfId="0" applyFont="1" applyFill="1" applyAlignment="1">
      <alignment/>
    </xf>
    <xf numFmtId="0" fontId="85" fillId="34" borderId="0" xfId="0" applyFont="1" applyFill="1" applyBorder="1" applyAlignment="1">
      <alignment horizontal="right"/>
    </xf>
    <xf numFmtId="168" fontId="85" fillId="34" borderId="262" xfId="0" applyNumberFormat="1" applyFont="1" applyFill="1" applyBorder="1" applyAlignment="1">
      <alignment horizontal="center"/>
    </xf>
    <xf numFmtId="1" fontId="85" fillId="34" borderId="263" xfId="0" applyNumberFormat="1" applyFont="1" applyFill="1" applyBorder="1" applyAlignment="1">
      <alignment horizontal="right"/>
    </xf>
    <xf numFmtId="1" fontId="78" fillId="34" borderId="264" xfId="0" applyNumberFormat="1" applyFont="1" applyFill="1" applyBorder="1" applyAlignment="1">
      <alignment horizontal="left"/>
    </xf>
    <xf numFmtId="0" fontId="95" fillId="34" borderId="264" xfId="0" applyFont="1" applyFill="1" applyBorder="1" applyAlignment="1">
      <alignment horizontal="left"/>
    </xf>
    <xf numFmtId="0" fontId="52" fillId="34" borderId="265" xfId="0" applyFont="1" applyFill="1" applyBorder="1" applyAlignment="1">
      <alignment vertical="top"/>
    </xf>
    <xf numFmtId="0" fontId="85" fillId="34" borderId="262" xfId="0" applyFont="1" applyFill="1" applyBorder="1" applyAlignment="1">
      <alignment horizontal="right"/>
    </xf>
    <xf numFmtId="14" fontId="44" fillId="0" borderId="113" xfId="59" applyNumberFormat="1" applyFont="1" applyFill="1" applyBorder="1" applyAlignment="1">
      <alignment horizontal="left" vertical="center"/>
      <protection/>
    </xf>
    <xf numFmtId="0" fontId="132" fillId="34" borderId="0" xfId="0" applyFont="1" applyFill="1" applyAlignment="1">
      <alignment/>
    </xf>
    <xf numFmtId="0" fontId="143" fillId="34" borderId="87" xfId="0" applyFont="1" applyFill="1" applyBorder="1" applyAlignment="1">
      <alignment horizontal="left" vertical="top" wrapText="1"/>
    </xf>
    <xf numFmtId="0" fontId="143" fillId="34" borderId="0" xfId="0" applyFont="1" applyFill="1" applyBorder="1" applyAlignment="1">
      <alignment horizontal="left" vertical="top" wrapText="1"/>
    </xf>
    <xf numFmtId="168" fontId="7" fillId="0" borderId="266" xfId="0" applyNumberFormat="1" applyFont="1" applyFill="1" applyBorder="1" applyAlignment="1" applyProtection="1">
      <alignment horizontal="center" vertical="center"/>
      <protection locked="0"/>
    </xf>
    <xf numFmtId="168" fontId="7" fillId="0" borderId="1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66" fontId="7" fillId="0" borderId="19" xfId="0" applyNumberFormat="1" applyFont="1" applyFill="1" applyBorder="1" applyAlignment="1" applyProtection="1">
      <alignment horizontal="center" vertical="center"/>
      <protection locked="0"/>
    </xf>
    <xf numFmtId="178" fontId="21"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 fontId="44" fillId="0" borderId="10" xfId="0" applyNumberFormat="1" applyFont="1" applyFill="1" applyBorder="1" applyAlignment="1" applyProtection="1">
      <alignment horizontal="center" vertical="center"/>
      <protection locked="0"/>
    </xf>
    <xf numFmtId="0" fontId="44" fillId="0" borderId="267" xfId="0" applyFont="1" applyFill="1" applyBorder="1" applyAlignment="1" applyProtection="1">
      <alignment horizontal="center" vertical="center"/>
      <protection locked="0"/>
    </xf>
    <xf numFmtId="0" fontId="44" fillId="0" borderId="26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Continuous" vertical="center"/>
      <protection locked="0"/>
    </xf>
    <xf numFmtId="179" fontId="75" fillId="35" borderId="269" xfId="0" applyNumberFormat="1" applyFont="1" applyFill="1" applyBorder="1" applyAlignment="1" applyProtection="1">
      <alignment horizontal="center" vertical="center"/>
      <protection locked="0"/>
    </xf>
    <xf numFmtId="164" fontId="7" fillId="2" borderId="270" xfId="0" applyNumberFormat="1" applyFont="1" applyFill="1" applyBorder="1" applyAlignment="1" applyProtection="1">
      <alignment horizontal="center" vertical="center"/>
      <protection locked="0"/>
    </xf>
    <xf numFmtId="0" fontId="7" fillId="2" borderId="270" xfId="0" applyFont="1" applyFill="1" applyBorder="1" applyAlignment="1" applyProtection="1">
      <alignment horizontal="center" vertical="center"/>
      <protection locked="0"/>
    </xf>
    <xf numFmtId="0" fontId="7" fillId="2" borderId="27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73" fontId="21" fillId="2" borderId="10" xfId="0" applyNumberFormat="1" applyFont="1" applyFill="1" applyBorder="1" applyAlignment="1" applyProtection="1">
      <alignment horizontal="center" vertical="center"/>
      <protection locked="0"/>
    </xf>
    <xf numFmtId="2" fontId="52" fillId="2" borderId="19" xfId="0" applyNumberFormat="1" applyFont="1" applyFill="1" applyBorder="1" applyAlignment="1" applyProtection="1">
      <alignment horizontal="center" vertical="center"/>
      <protection locked="0"/>
    </xf>
    <xf numFmtId="0" fontId="44" fillId="34" borderId="0" xfId="0" applyFont="1" applyFill="1" applyAlignment="1" applyProtection="1">
      <alignment vertical="center"/>
      <protection locked="0"/>
    </xf>
    <xf numFmtId="0" fontId="83" fillId="34" borderId="0" xfId="0" applyFont="1" applyFill="1" applyAlignment="1" applyProtection="1">
      <alignment vertical="center"/>
      <protection locked="0"/>
    </xf>
    <xf numFmtId="0" fontId="11" fillId="34" borderId="0" xfId="0" applyFont="1" applyFill="1" applyAlignment="1" applyProtection="1">
      <alignment vertical="center"/>
      <protection locked="0"/>
    </xf>
    <xf numFmtId="0" fontId="97" fillId="34" borderId="0" xfId="0" applyFont="1" applyFill="1" applyAlignment="1" applyProtection="1">
      <alignment vertical="center"/>
      <protection locked="0"/>
    </xf>
    <xf numFmtId="0" fontId="104" fillId="34" borderId="86" xfId="0" applyFont="1" applyFill="1" applyBorder="1" applyAlignment="1" applyProtection="1">
      <alignment vertical="center"/>
      <protection locked="0"/>
    </xf>
    <xf numFmtId="0" fontId="53" fillId="34" borderId="87" xfId="0" applyFont="1" applyFill="1" applyBorder="1" applyAlignment="1" applyProtection="1">
      <alignment vertical="center"/>
      <protection locked="0"/>
    </xf>
    <xf numFmtId="0" fontId="44" fillId="34" borderId="87" xfId="0" applyFont="1" applyFill="1" applyBorder="1" applyAlignment="1" applyProtection="1">
      <alignment vertical="center"/>
      <protection locked="0"/>
    </xf>
    <xf numFmtId="0" fontId="98" fillId="34" borderId="88" xfId="0" applyFont="1" applyFill="1" applyBorder="1" applyAlignment="1" applyProtection="1">
      <alignment horizontal="center" vertical="center"/>
      <protection locked="0"/>
    </xf>
    <xf numFmtId="0" fontId="7" fillId="34" borderId="0" xfId="0" applyFont="1" applyFill="1" applyAlignment="1" applyProtection="1">
      <alignment vertical="center"/>
      <protection locked="0"/>
    </xf>
    <xf numFmtId="0" fontId="156" fillId="34" borderId="0" xfId="0" applyFont="1" applyFill="1" applyAlignment="1" applyProtection="1">
      <alignment vertical="center"/>
      <protection locked="0"/>
    </xf>
    <xf numFmtId="0" fontId="8" fillId="34" borderId="0" xfId="0" applyFont="1" applyFill="1" applyAlignment="1" applyProtection="1">
      <alignment vertical="center"/>
      <protection locked="0"/>
    </xf>
    <xf numFmtId="0" fontId="52" fillId="34" borderId="0" xfId="0" applyFont="1" applyFill="1" applyAlignment="1" applyProtection="1">
      <alignment vertical="center"/>
      <protection locked="0"/>
    </xf>
    <xf numFmtId="0" fontId="53" fillId="34" borderId="68" xfId="0" applyFont="1" applyFill="1" applyBorder="1" applyAlignment="1" applyProtection="1">
      <alignment vertical="center"/>
      <protection locked="0"/>
    </xf>
    <xf numFmtId="0" fontId="99" fillId="34" borderId="0" xfId="0" applyFont="1" applyFill="1" applyBorder="1" applyAlignment="1" applyProtection="1">
      <alignment vertical="center"/>
      <protection locked="0"/>
    </xf>
    <xf numFmtId="0" fontId="100" fillId="34" borderId="0" xfId="0" applyFont="1" applyFill="1" applyBorder="1" applyAlignment="1" applyProtection="1">
      <alignment vertical="center"/>
      <protection locked="0"/>
    </xf>
    <xf numFmtId="0" fontId="98" fillId="34" borderId="0" xfId="0" applyFont="1" applyFill="1" applyBorder="1" applyAlignment="1" applyProtection="1">
      <alignment vertical="center"/>
      <protection locked="0"/>
    </xf>
    <xf numFmtId="0" fontId="98" fillId="34" borderId="49" xfId="0" applyFont="1" applyFill="1" applyBorder="1" applyAlignment="1" applyProtection="1">
      <alignment horizontal="center" vertical="center"/>
      <protection locked="0"/>
    </xf>
    <xf numFmtId="0" fontId="44" fillId="34" borderId="0" xfId="0" applyFont="1" applyFill="1" applyAlignment="1" applyProtection="1">
      <alignment horizontal="left" vertical="center"/>
      <protection locked="0"/>
    </xf>
    <xf numFmtId="172" fontId="142" fillId="34" borderId="65" xfId="53" applyNumberFormat="1" applyFont="1" applyFill="1" applyBorder="1" applyAlignment="1" applyProtection="1">
      <alignment horizontal="left" vertical="center"/>
      <protection locked="0"/>
    </xf>
    <xf numFmtId="172" fontId="8" fillId="34" borderId="65" xfId="0" applyNumberFormat="1" applyFont="1" applyFill="1" applyBorder="1" applyAlignment="1" applyProtection="1">
      <alignment horizontal="left" vertical="center"/>
      <protection locked="0"/>
    </xf>
    <xf numFmtId="0" fontId="0" fillId="34" borderId="65" xfId="0" applyFill="1" applyBorder="1" applyAlignment="1">
      <alignment vertical="center"/>
    </xf>
    <xf numFmtId="0" fontId="44" fillId="34" borderId="65" xfId="0" applyFont="1" applyFill="1" applyBorder="1" applyAlignment="1" applyProtection="1">
      <alignment vertical="center"/>
      <protection locked="0"/>
    </xf>
    <xf numFmtId="0" fontId="44" fillId="34" borderId="19" xfId="0" applyFont="1" applyFill="1" applyBorder="1" applyAlignment="1">
      <alignment vertical="center"/>
    </xf>
    <xf numFmtId="0" fontId="53" fillId="34" borderId="0" xfId="0" applyFont="1" applyFill="1" applyBorder="1" applyAlignment="1" applyProtection="1">
      <alignment vertical="center"/>
      <protection locked="0"/>
    </xf>
    <xf numFmtId="0" fontId="97" fillId="34" borderId="0"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56" fillId="34" borderId="0" xfId="0" applyFont="1" applyFill="1" applyAlignment="1" applyProtection="1">
      <alignment vertical="center"/>
      <protection locked="0"/>
    </xf>
    <xf numFmtId="0" fontId="44" fillId="34" borderId="0" xfId="0" applyFont="1" applyFill="1" applyBorder="1" applyAlignment="1" applyProtection="1">
      <alignment vertical="center"/>
      <protection locked="0"/>
    </xf>
    <xf numFmtId="0" fontId="106" fillId="34" borderId="0" xfId="53" applyFont="1" applyFill="1" applyAlignment="1" applyProtection="1">
      <alignment horizontal="center" vertical="center"/>
      <protection locked="0"/>
    </xf>
    <xf numFmtId="0" fontId="98" fillId="34" borderId="0" xfId="0" applyFont="1" applyFill="1" applyAlignment="1" applyProtection="1">
      <alignment horizontal="left" vertical="center"/>
      <protection locked="0"/>
    </xf>
    <xf numFmtId="0" fontId="141" fillId="34" borderId="68" xfId="0" applyFont="1" applyFill="1" applyBorder="1" applyAlignment="1" applyProtection="1">
      <alignment vertical="center"/>
      <protection locked="0"/>
    </xf>
    <xf numFmtId="0" fontId="95" fillId="34" borderId="0" xfId="0" applyFont="1" applyFill="1" applyAlignment="1" applyProtection="1">
      <alignment horizontal="center" vertical="center"/>
      <protection locked="0"/>
    </xf>
    <xf numFmtId="0" fontId="68" fillId="34" borderId="0" xfId="0" applyFont="1" applyFill="1" applyAlignment="1" applyProtection="1">
      <alignment horizontal="center" vertical="center"/>
      <protection locked="0"/>
    </xf>
    <xf numFmtId="0" fontId="7" fillId="34" borderId="272" xfId="0" applyFont="1" applyFill="1" applyBorder="1" applyAlignment="1" applyProtection="1">
      <alignment horizontal="center" vertical="center"/>
      <protection locked="0"/>
    </xf>
    <xf numFmtId="0" fontId="56" fillId="34" borderId="273" xfId="0" applyFont="1" applyFill="1" applyBorder="1" applyAlignment="1" applyProtection="1">
      <alignment vertical="center"/>
      <protection locked="0"/>
    </xf>
    <xf numFmtId="0" fontId="44" fillId="34" borderId="273" xfId="0" applyFont="1" applyFill="1" applyBorder="1" applyAlignment="1" applyProtection="1">
      <alignment vertical="center"/>
      <protection locked="0"/>
    </xf>
    <xf numFmtId="0" fontId="44" fillId="34" borderId="68" xfId="0" applyFont="1" applyFill="1" applyBorder="1" applyAlignment="1">
      <alignment vertical="center"/>
    </xf>
    <xf numFmtId="0" fontId="53" fillId="34" borderId="0" xfId="0" applyFont="1" applyFill="1" applyBorder="1" applyAlignment="1" applyProtection="1">
      <alignment horizontal="right" vertical="center"/>
      <protection locked="0"/>
    </xf>
    <xf numFmtId="0" fontId="99" fillId="34" borderId="0" xfId="0" applyFont="1" applyFill="1" applyBorder="1" applyAlignment="1" applyProtection="1">
      <alignment horizontal="left" vertical="center"/>
      <protection locked="0"/>
    </xf>
    <xf numFmtId="0" fontId="94" fillId="34" borderId="0" xfId="0" applyFont="1" applyFill="1" applyAlignment="1" applyProtection="1">
      <alignment horizontal="left" vertical="center"/>
      <protection locked="0"/>
    </xf>
    <xf numFmtId="0" fontId="101" fillId="34" borderId="0" xfId="0" applyFont="1" applyFill="1" applyAlignment="1" applyProtection="1">
      <alignment vertical="center"/>
      <protection locked="0"/>
    </xf>
    <xf numFmtId="0" fontId="44" fillId="34" borderId="49" xfId="0" applyFont="1" applyFill="1" applyBorder="1" applyAlignment="1" applyProtection="1">
      <alignment vertical="center"/>
      <protection locked="0"/>
    </xf>
    <xf numFmtId="0" fontId="66" fillId="34" borderId="0" xfId="53" applyFont="1" applyFill="1" applyAlignment="1" applyProtection="1">
      <alignment horizontal="center" vertical="center"/>
      <protection locked="0"/>
    </xf>
    <xf numFmtId="0" fontId="98" fillId="34" borderId="0" xfId="0" applyFont="1" applyFill="1" applyBorder="1" applyAlignment="1">
      <alignment vertical="center"/>
    </xf>
    <xf numFmtId="0" fontId="134" fillId="34" borderId="273" xfId="0" applyFont="1" applyFill="1" applyBorder="1" applyAlignment="1" applyProtection="1">
      <alignment vertical="center"/>
      <protection locked="0"/>
    </xf>
    <xf numFmtId="0" fontId="98" fillId="34" borderId="91" xfId="0" applyFont="1" applyFill="1" applyBorder="1" applyAlignment="1" applyProtection="1">
      <alignment horizontal="left" vertical="center"/>
      <protection locked="0"/>
    </xf>
    <xf numFmtId="0" fontId="105" fillId="34" borderId="19" xfId="0" applyFont="1" applyFill="1" applyBorder="1" applyAlignment="1" applyProtection="1">
      <alignment horizontal="center" vertical="top"/>
      <protection locked="0"/>
    </xf>
    <xf numFmtId="0" fontId="99" fillId="34" borderId="84" xfId="0" applyFont="1" applyFill="1" applyBorder="1" applyAlignment="1" applyProtection="1">
      <alignment vertical="center"/>
      <protection locked="0"/>
    </xf>
    <xf numFmtId="0" fontId="44" fillId="34" borderId="84" xfId="0" applyFont="1" applyFill="1" applyBorder="1" applyAlignment="1" applyProtection="1">
      <alignment vertical="center"/>
      <protection locked="0"/>
    </xf>
    <xf numFmtId="0" fontId="44" fillId="34" borderId="92" xfId="0" applyFont="1" applyFill="1" applyBorder="1" applyAlignment="1" applyProtection="1">
      <alignment vertical="center"/>
      <protection locked="0"/>
    </xf>
    <xf numFmtId="0" fontId="41" fillId="34" borderId="0" xfId="0" applyFont="1" applyFill="1" applyAlignment="1" applyProtection="1">
      <alignment horizontal="center" vertical="center"/>
      <protection locked="0"/>
    </xf>
    <xf numFmtId="0" fontId="0" fillId="34" borderId="0" xfId="0" applyFill="1" applyAlignment="1" applyProtection="1">
      <alignment vertical="center"/>
      <protection locked="0"/>
    </xf>
    <xf numFmtId="0" fontId="44" fillId="34" borderId="70" xfId="0" applyFont="1" applyFill="1" applyBorder="1" applyAlignment="1">
      <alignment horizontal="right" vertical="center"/>
    </xf>
    <xf numFmtId="0" fontId="98" fillId="34" borderId="0" xfId="0" applyFont="1" applyFill="1" applyBorder="1" applyAlignment="1" applyProtection="1">
      <alignment horizontal="center" vertical="center"/>
      <protection locked="0"/>
    </xf>
    <xf numFmtId="0" fontId="41" fillId="34" borderId="273" xfId="0" applyFont="1" applyFill="1" applyBorder="1" applyAlignment="1" applyProtection="1">
      <alignment horizontal="center" vertical="center"/>
      <protection locked="0"/>
    </xf>
    <xf numFmtId="0" fontId="7" fillId="34" borderId="273" xfId="0" applyFont="1" applyFill="1" applyBorder="1" applyAlignment="1" applyProtection="1">
      <alignment vertical="center"/>
      <protection locked="0"/>
    </xf>
    <xf numFmtId="0" fontId="6" fillId="34" borderId="273" xfId="0" applyFont="1" applyFill="1" applyBorder="1" applyAlignment="1" applyProtection="1">
      <alignment vertical="center"/>
      <protection locked="0"/>
    </xf>
    <xf numFmtId="0" fontId="44" fillId="34" borderId="274" xfId="0" applyFont="1" applyFill="1" applyBorder="1" applyAlignment="1" applyProtection="1">
      <alignment horizontal="centerContinuous" vertical="center"/>
      <protection locked="0"/>
    </xf>
    <xf numFmtId="0" fontId="44" fillId="34" borderId="0" xfId="0" applyFont="1" applyFill="1" applyAlignment="1" applyProtection="1">
      <alignment horizontal="center" vertical="center"/>
      <protection locked="0"/>
    </xf>
    <xf numFmtId="0" fontId="69" fillId="34" borderId="0" xfId="53" applyFont="1" applyFill="1" applyAlignment="1" applyProtection="1">
      <alignment horizontal="center" vertical="center"/>
      <protection locked="0"/>
    </xf>
    <xf numFmtId="0" fontId="44" fillId="34" borderId="22" xfId="0" applyFont="1" applyFill="1" applyBorder="1" applyAlignment="1" applyProtection="1">
      <alignment horizontal="center" vertical="center"/>
      <protection locked="0"/>
    </xf>
    <xf numFmtId="0" fontId="44" fillId="34" borderId="22" xfId="0" applyFont="1" applyFill="1" applyBorder="1" applyAlignment="1" applyProtection="1">
      <alignment horizontal="left" vertical="center"/>
      <protection locked="0"/>
    </xf>
    <xf numFmtId="0" fontId="44" fillId="34" borderId="121" xfId="0" applyFont="1" applyFill="1" applyBorder="1" applyAlignment="1" applyProtection="1">
      <alignment horizontal="center" vertical="center"/>
      <protection locked="0"/>
    </xf>
    <xf numFmtId="0" fontId="98" fillId="34" borderId="0" xfId="0" applyFont="1" applyFill="1" applyAlignment="1" applyProtection="1">
      <alignment vertical="center"/>
      <protection locked="0"/>
    </xf>
    <xf numFmtId="0" fontId="70" fillId="34" borderId="0" xfId="0" applyFont="1" applyFill="1" applyAlignment="1">
      <alignment horizontal="center" vertical="center"/>
    </xf>
    <xf numFmtId="0" fontId="102" fillId="34" borderId="0" xfId="0" applyFont="1" applyFill="1" applyAlignment="1" applyProtection="1">
      <alignment horizontal="right" vertical="center"/>
      <protection locked="0"/>
    </xf>
    <xf numFmtId="0" fontId="53" fillId="34" borderId="0" xfId="0" applyFont="1" applyFill="1" applyAlignment="1" applyProtection="1">
      <alignment horizontal="left" vertical="center"/>
      <protection locked="0"/>
    </xf>
    <xf numFmtId="0" fontId="10" fillId="34" borderId="0" xfId="0" applyFont="1" applyFill="1" applyAlignment="1" applyProtection="1">
      <alignment horizontal="center" vertical="center"/>
      <protection locked="0"/>
    </xf>
    <xf numFmtId="0" fontId="10" fillId="34" borderId="272" xfId="0" applyFont="1" applyFill="1" applyBorder="1" applyAlignment="1" applyProtection="1">
      <alignment horizontal="center" vertical="center"/>
      <protection locked="0"/>
    </xf>
    <xf numFmtId="0" fontId="56" fillId="34" borderId="0" xfId="0" applyFont="1" applyFill="1" applyAlignment="1" applyProtection="1">
      <alignment horizontal="center" vertical="center"/>
      <protection locked="0"/>
    </xf>
    <xf numFmtId="0" fontId="68" fillId="34" borderId="273" xfId="0" applyFont="1" applyFill="1" applyBorder="1" applyAlignment="1" applyProtection="1">
      <alignment horizontal="center" vertical="center"/>
      <protection locked="0"/>
    </xf>
    <xf numFmtId="0" fontId="56" fillId="34" borderId="0" xfId="0" applyFont="1" applyFill="1" applyAlignment="1">
      <alignment horizontal="left" vertical="center"/>
    </xf>
    <xf numFmtId="0" fontId="56" fillId="34" borderId="0" xfId="0" applyFont="1" applyFill="1" applyAlignment="1">
      <alignment horizontal="right" vertical="center"/>
    </xf>
    <xf numFmtId="0" fontId="68" fillId="34" borderId="0" xfId="0" applyFont="1" applyFill="1" applyBorder="1" applyAlignment="1" applyProtection="1">
      <alignment horizontal="center" vertical="center"/>
      <protection locked="0"/>
    </xf>
    <xf numFmtId="1" fontId="44" fillId="34" borderId="0" xfId="0" applyNumberFormat="1" applyFont="1" applyFill="1" applyAlignment="1" applyProtection="1">
      <alignment vertical="center"/>
      <protection locked="0"/>
    </xf>
    <xf numFmtId="0" fontId="52" fillId="34" borderId="274" xfId="0" applyFont="1" applyFill="1" applyBorder="1" applyAlignment="1" applyProtection="1">
      <alignment horizontal="left" vertical="center"/>
      <protection locked="0"/>
    </xf>
    <xf numFmtId="0" fontId="52" fillId="34" borderId="275" xfId="0" applyFont="1" applyFill="1" applyBorder="1" applyAlignment="1">
      <alignment horizontal="left" vertical="center"/>
    </xf>
    <xf numFmtId="0" fontId="44" fillId="34" borderId="0" xfId="0" applyFont="1" applyFill="1" applyAlignment="1" applyProtection="1">
      <alignment horizontal="centerContinuous" vertical="center"/>
      <protection locked="0"/>
    </xf>
    <xf numFmtId="0" fontId="56" fillId="34" borderId="0" xfId="0" applyFont="1" applyFill="1" applyAlignment="1" applyProtection="1">
      <alignment horizontal="centerContinuous" vertical="center"/>
      <protection locked="0"/>
    </xf>
    <xf numFmtId="0" fontId="94" fillId="34" borderId="0" xfId="0" applyFont="1" applyFill="1" applyBorder="1" applyAlignment="1" applyProtection="1">
      <alignment horizontal="right" vertical="center"/>
      <protection locked="0"/>
    </xf>
    <xf numFmtId="0" fontId="52" fillId="34" borderId="274" xfId="0" applyFont="1" applyFill="1" applyBorder="1" applyAlignment="1" applyProtection="1">
      <alignment horizontal="right" vertical="center"/>
      <protection locked="0"/>
    </xf>
    <xf numFmtId="0" fontId="99" fillId="34" borderId="0" xfId="0" applyFont="1" applyFill="1" applyBorder="1" applyAlignment="1" applyProtection="1">
      <alignment horizontal="centerContinuous" vertical="center"/>
      <protection locked="0"/>
    </xf>
    <xf numFmtId="0" fontId="53" fillId="34" borderId="0" xfId="0" applyFont="1" applyFill="1" applyAlignment="1" applyProtection="1">
      <alignment horizontal="centerContinuous" vertical="center"/>
      <protection locked="0"/>
    </xf>
    <xf numFmtId="0" fontId="93" fillId="34" borderId="0" xfId="0" applyFont="1" applyFill="1" applyAlignment="1" applyProtection="1">
      <alignment horizontal="center" vertical="center"/>
      <protection locked="0"/>
    </xf>
    <xf numFmtId="0" fontId="94" fillId="34" borderId="0" xfId="0" applyFont="1" applyFill="1" applyBorder="1" applyAlignment="1" applyProtection="1">
      <alignment horizontal="left" vertical="center"/>
      <protection locked="0"/>
    </xf>
    <xf numFmtId="0" fontId="52" fillId="34" borderId="70" xfId="0" applyFont="1" applyFill="1" applyBorder="1" applyAlignment="1" applyProtection="1">
      <alignment horizontal="left" vertical="center"/>
      <protection locked="0"/>
    </xf>
    <xf numFmtId="0" fontId="140" fillId="34" borderId="0" xfId="0" applyFont="1" applyFill="1" applyBorder="1" applyAlignment="1" applyProtection="1">
      <alignment horizontal="centerContinuous" vertical="center"/>
      <protection locked="0"/>
    </xf>
    <xf numFmtId="0" fontId="103" fillId="34" borderId="0" xfId="0" applyFont="1" applyFill="1" applyAlignment="1" applyProtection="1">
      <alignment horizontal="centerContinuous" vertical="center"/>
      <protection locked="0"/>
    </xf>
    <xf numFmtId="0" fontId="56" fillId="34" borderId="273" xfId="0" applyFont="1" applyFill="1" applyBorder="1" applyAlignment="1" applyProtection="1">
      <alignment horizontal="left" vertical="center"/>
      <protection locked="0"/>
    </xf>
    <xf numFmtId="0" fontId="47" fillId="34" borderId="0" xfId="0" applyFont="1" applyFill="1" applyAlignment="1" applyProtection="1">
      <alignment vertical="center"/>
      <protection locked="0"/>
    </xf>
    <xf numFmtId="0" fontId="98" fillId="34" borderId="0" xfId="0" applyFont="1" applyFill="1" applyBorder="1" applyAlignment="1" applyProtection="1">
      <alignment horizontal="left" vertical="center"/>
      <protection locked="0"/>
    </xf>
    <xf numFmtId="0" fontId="44" fillId="34" borderId="0" xfId="0" applyFont="1" applyFill="1" applyAlignment="1" applyProtection="1">
      <alignment horizontal="right" vertical="center"/>
      <protection locked="0"/>
    </xf>
    <xf numFmtId="0" fontId="44" fillId="34" borderId="0" xfId="0" applyFont="1" applyFill="1" applyBorder="1" applyAlignment="1" applyProtection="1">
      <alignment horizontal="right" vertical="center"/>
      <protection locked="0"/>
    </xf>
    <xf numFmtId="0" fontId="73" fillId="34" borderId="273" xfId="0" applyFont="1" applyFill="1" applyBorder="1" applyAlignment="1" applyProtection="1">
      <alignment horizontal="center" vertical="center"/>
      <protection locked="0"/>
    </xf>
    <xf numFmtId="0" fontId="112" fillId="34" borderId="0" xfId="0" applyFont="1" applyFill="1" applyBorder="1" applyAlignment="1" applyProtection="1">
      <alignment vertical="center"/>
      <protection locked="0"/>
    </xf>
    <xf numFmtId="0" fontId="73" fillId="34" borderId="0" xfId="0" applyFont="1" applyFill="1" applyBorder="1" applyAlignment="1" applyProtection="1">
      <alignment horizontal="center" vertical="center"/>
      <protection locked="0"/>
    </xf>
    <xf numFmtId="170" fontId="52" fillId="34" borderId="0" xfId="0" applyNumberFormat="1" applyFont="1" applyFill="1" applyBorder="1" applyAlignment="1" applyProtection="1">
      <alignment horizontal="center" vertical="center"/>
      <protection locked="0"/>
    </xf>
    <xf numFmtId="0" fontId="39" fillId="34" borderId="0" xfId="0" applyFont="1" applyFill="1" applyAlignment="1">
      <alignment horizontal="center" vertical="center"/>
    </xf>
    <xf numFmtId="0" fontId="0" fillId="34" borderId="0" xfId="0" applyFill="1" applyAlignment="1">
      <alignment vertical="center"/>
    </xf>
    <xf numFmtId="0" fontId="0" fillId="34" borderId="276" xfId="0" applyFill="1" applyBorder="1" applyAlignment="1">
      <alignment vertical="center"/>
    </xf>
    <xf numFmtId="0" fontId="44" fillId="34" borderId="70" xfId="0" applyFont="1" applyFill="1" applyBorder="1" applyAlignment="1" applyProtection="1">
      <alignment vertical="center"/>
      <protection locked="0"/>
    </xf>
    <xf numFmtId="0" fontId="21" fillId="34" borderId="70" xfId="0" applyFont="1" applyFill="1" applyBorder="1" applyAlignment="1" applyProtection="1">
      <alignment horizontal="center" vertical="center"/>
      <protection locked="0"/>
    </xf>
    <xf numFmtId="0" fontId="7" fillId="34" borderId="70" xfId="0" applyFont="1" applyFill="1" applyBorder="1" applyAlignment="1" applyProtection="1">
      <alignment vertical="center"/>
      <protection locked="0"/>
    </xf>
    <xf numFmtId="0" fontId="56" fillId="34" borderId="0" xfId="0" applyFont="1" applyFill="1" applyAlignment="1" applyProtection="1">
      <alignment horizontal="left" vertical="center"/>
      <protection locked="0"/>
    </xf>
    <xf numFmtId="0" fontId="112" fillId="34" borderId="0" xfId="0" applyFont="1" applyFill="1" applyAlignment="1" applyProtection="1">
      <alignment horizontal="left" vertical="center"/>
      <protection locked="0"/>
    </xf>
    <xf numFmtId="0" fontId="21" fillId="34" borderId="0" xfId="0" applyFont="1" applyFill="1" applyAlignment="1" applyProtection="1">
      <alignment horizontal="center" vertical="center"/>
      <protection locked="0"/>
    </xf>
    <xf numFmtId="176" fontId="44" fillId="34" borderId="0" xfId="0" applyNumberFormat="1" applyFont="1" applyFill="1" applyBorder="1" applyAlignment="1" applyProtection="1">
      <alignment vertical="center"/>
      <protection locked="0"/>
    </xf>
    <xf numFmtId="0" fontId="0" fillId="34" borderId="0" xfId="0" applyFill="1" applyBorder="1" applyAlignment="1" applyProtection="1">
      <alignment vertical="center"/>
      <protection locked="0"/>
    </xf>
    <xf numFmtId="0" fontId="21" fillId="34" borderId="84" xfId="0" applyFont="1" applyFill="1" applyBorder="1" applyAlignment="1" applyProtection="1">
      <alignment horizontal="center" vertical="center"/>
      <protection locked="0"/>
    </xf>
    <xf numFmtId="0" fontId="7" fillId="34" borderId="84" xfId="0" applyFont="1" applyFill="1" applyBorder="1" applyAlignment="1" applyProtection="1">
      <alignment vertical="center"/>
      <protection locked="0"/>
    </xf>
    <xf numFmtId="0" fontId="44" fillId="34" borderId="84" xfId="0" applyFont="1" applyFill="1" applyBorder="1" applyAlignment="1" applyProtection="1">
      <alignment horizontal="left" vertical="center"/>
      <protection locked="0"/>
    </xf>
    <xf numFmtId="0" fontId="94" fillId="34" borderId="84" xfId="0" applyFont="1" applyFill="1" applyBorder="1" applyAlignment="1" applyProtection="1">
      <alignment vertical="center"/>
      <protection locked="0"/>
    </xf>
    <xf numFmtId="169" fontId="44" fillId="34" borderId="130" xfId="65" applyNumberFormat="1" applyFont="1" applyFill="1" applyBorder="1" applyAlignment="1">
      <alignment horizontal="center" vertical="center"/>
    </xf>
    <xf numFmtId="2" fontId="44" fillId="34" borderId="133" xfId="0" applyNumberFormat="1" applyFont="1" applyFill="1" applyBorder="1" applyAlignment="1">
      <alignment horizontal="center" vertical="center"/>
    </xf>
    <xf numFmtId="1" fontId="44" fillId="34" borderId="277" xfId="0" applyNumberFormat="1" applyFont="1" applyFill="1" applyBorder="1" applyAlignment="1">
      <alignment horizontal="center" vertical="center"/>
    </xf>
    <xf numFmtId="1" fontId="44" fillId="34" borderId="278" xfId="0" applyNumberFormat="1" applyFont="1" applyFill="1" applyBorder="1" applyAlignment="1">
      <alignment horizontal="center" vertical="center"/>
    </xf>
    <xf numFmtId="1" fontId="44" fillId="34" borderId="27" xfId="0" applyNumberFormat="1" applyFont="1" applyFill="1" applyBorder="1" applyAlignment="1">
      <alignment horizontal="center" vertical="center"/>
    </xf>
    <xf numFmtId="1" fontId="44" fillId="34" borderId="26" xfId="0" applyNumberFormat="1" applyFont="1" applyFill="1" applyBorder="1" applyAlignment="1">
      <alignment horizontal="center" vertical="center"/>
    </xf>
    <xf numFmtId="1" fontId="44" fillId="34" borderId="52" xfId="0" applyNumberFormat="1" applyFont="1" applyFill="1" applyBorder="1" applyAlignment="1">
      <alignment horizontal="center" vertical="center"/>
    </xf>
    <xf numFmtId="0" fontId="88" fillId="37" borderId="64" xfId="58" applyFont="1" applyFill="1" applyBorder="1" applyAlignment="1">
      <alignment horizontal="center" vertical="center"/>
      <protection/>
    </xf>
    <xf numFmtId="0" fontId="89" fillId="37" borderId="65" xfId="58" applyFont="1" applyFill="1" applyBorder="1" applyAlignment="1">
      <alignment horizontal="center" vertical="center"/>
      <protection/>
    </xf>
    <xf numFmtId="0" fontId="89" fillId="37" borderId="66" xfId="58" applyFont="1" applyFill="1" applyBorder="1" applyAlignment="1">
      <alignment horizontal="center" vertical="center"/>
      <protection/>
    </xf>
    <xf numFmtId="0" fontId="6" fillId="37" borderId="279" xfId="58" applyFont="1" applyFill="1" applyBorder="1" applyAlignment="1">
      <alignment horizontal="center"/>
      <protection/>
    </xf>
    <xf numFmtId="0" fontId="6" fillId="37" borderId="280" xfId="58" applyFont="1" applyFill="1" applyBorder="1" applyAlignment="1">
      <alignment horizontal="center"/>
      <protection/>
    </xf>
    <xf numFmtId="0" fontId="6" fillId="37" borderId="281" xfId="58" applyFont="1" applyFill="1" applyBorder="1" applyAlignment="1">
      <alignment horizontal="center"/>
      <protection/>
    </xf>
    <xf numFmtId="0" fontId="52" fillId="0" borderId="29" xfId="59" applyFont="1" applyFill="1" applyBorder="1" applyAlignment="1">
      <alignment horizontal="center" vertical="center"/>
      <protection/>
    </xf>
    <xf numFmtId="0" fontId="52" fillId="0" borderId="93" xfId="59" applyFont="1" applyFill="1" applyBorder="1" applyAlignment="1">
      <alignment horizontal="center" vertical="center"/>
      <protection/>
    </xf>
    <xf numFmtId="0" fontId="52" fillId="0" borderId="132" xfId="59" applyFont="1" applyFill="1" applyBorder="1" applyAlignment="1">
      <alignment horizontal="center" vertical="center"/>
      <protection/>
    </xf>
    <xf numFmtId="0" fontId="56" fillId="34" borderId="282" xfId="59" applyFont="1" applyFill="1" applyBorder="1" applyAlignment="1">
      <alignment horizontal="center" vertical="center" wrapText="1"/>
      <protection/>
    </xf>
    <xf numFmtId="0" fontId="56" fillId="34" borderId="98" xfId="59" applyFont="1" applyFill="1" applyBorder="1" applyAlignment="1">
      <alignment horizontal="center" vertical="center" wrapText="1"/>
      <protection/>
    </xf>
    <xf numFmtId="0" fontId="56" fillId="34" borderId="283" xfId="59" applyFont="1" applyFill="1" applyBorder="1" applyAlignment="1">
      <alignment horizontal="center" vertical="center" wrapText="1"/>
      <protection/>
    </xf>
    <xf numFmtId="0" fontId="128" fillId="34" borderId="35" xfId="59" applyFont="1" applyFill="1" applyBorder="1" applyAlignment="1">
      <alignment horizontal="center" vertical="center"/>
      <protection/>
    </xf>
    <xf numFmtId="0" fontId="128" fillId="34" borderId="106" xfId="59" applyFont="1" applyFill="1" applyBorder="1" applyAlignment="1">
      <alignment horizontal="center" vertical="center"/>
      <protection/>
    </xf>
    <xf numFmtId="0" fontId="52" fillId="0" borderId="31" xfId="59" applyFont="1" applyFill="1" applyBorder="1" applyAlignment="1">
      <alignment horizontal="center" vertical="center"/>
      <protection/>
    </xf>
    <xf numFmtId="0" fontId="52" fillId="0" borderId="129" xfId="59" applyFont="1" applyFill="1" applyBorder="1" applyAlignment="1">
      <alignment horizontal="center" vertical="center"/>
      <protection/>
    </xf>
    <xf numFmtId="0" fontId="52" fillId="34" borderId="49" xfId="59" applyFont="1" applyFill="1" applyBorder="1" applyAlignment="1">
      <alignment horizontal="center" vertical="center"/>
      <protection/>
    </xf>
    <xf numFmtId="0" fontId="52" fillId="34" borderId="228" xfId="59" applyFont="1" applyFill="1" applyBorder="1" applyAlignment="1">
      <alignment horizontal="center" vertical="center"/>
      <protection/>
    </xf>
    <xf numFmtId="0" fontId="52" fillId="0" borderId="109" xfId="59" applyFont="1" applyFill="1" applyBorder="1" applyAlignment="1">
      <alignment horizontal="center" vertical="center"/>
      <protection/>
    </xf>
    <xf numFmtId="0" fontId="52" fillId="0" borderId="169" xfId="59" applyFont="1" applyFill="1" applyBorder="1" applyAlignment="1">
      <alignment horizontal="center" vertical="center"/>
      <protection/>
    </xf>
    <xf numFmtId="0" fontId="52" fillId="34" borderId="121" xfId="59" applyFont="1" applyFill="1" applyBorder="1" applyAlignment="1">
      <alignment horizontal="center" vertical="center"/>
      <protection/>
    </xf>
    <xf numFmtId="0" fontId="52" fillId="34" borderId="284" xfId="59" applyFont="1" applyFill="1" applyBorder="1" applyAlignment="1">
      <alignment horizontal="center" vertical="center"/>
      <protection/>
    </xf>
    <xf numFmtId="0" fontId="44" fillId="34" borderId="110" xfId="59" applyFont="1" applyFill="1" applyBorder="1" applyAlignment="1">
      <alignment horizontal="center" vertical="center"/>
      <protection/>
    </xf>
    <xf numFmtId="0" fontId="44" fillId="34" borderId="285" xfId="59" applyFont="1" applyFill="1" applyBorder="1" applyAlignment="1">
      <alignment horizontal="center" vertical="center"/>
      <protection/>
    </xf>
    <xf numFmtId="0" fontId="128" fillId="34" borderId="105" xfId="59" applyFont="1" applyFill="1" applyBorder="1" applyAlignment="1">
      <alignment horizontal="center" vertical="center"/>
      <protection/>
    </xf>
    <xf numFmtId="0" fontId="128" fillId="34" borderId="175" xfId="59" applyFont="1" applyFill="1" applyBorder="1" applyAlignment="1">
      <alignment horizontal="center" vertical="center"/>
      <protection/>
    </xf>
    <xf numFmtId="0" fontId="128" fillId="34" borderId="34" xfId="59" applyFont="1" applyFill="1" applyBorder="1" applyAlignment="1">
      <alignment horizontal="center" vertical="center"/>
      <protection/>
    </xf>
    <xf numFmtId="0" fontId="128" fillId="34" borderId="36" xfId="59" applyFont="1" applyFill="1" applyBorder="1" applyAlignment="1">
      <alignment horizontal="center" vertical="center"/>
      <protection/>
    </xf>
    <xf numFmtId="0" fontId="128" fillId="34" borderId="286" xfId="59" applyFont="1" applyFill="1" applyBorder="1" applyAlignment="1">
      <alignment horizontal="center" vertical="center"/>
      <protection/>
    </xf>
    <xf numFmtId="0" fontId="128" fillId="34" borderId="287" xfId="59" applyFont="1" applyFill="1" applyBorder="1" applyAlignment="1">
      <alignment horizontal="center" vertical="center"/>
      <protection/>
    </xf>
    <xf numFmtId="0" fontId="52" fillId="0" borderId="79" xfId="59" applyFont="1" applyFill="1" applyBorder="1" applyAlignment="1">
      <alignment horizontal="center" vertical="center"/>
      <protection/>
    </xf>
    <xf numFmtId="0" fontId="52" fillId="0" borderId="32" xfId="59" applyFont="1" applyFill="1" applyBorder="1" applyAlignment="1">
      <alignment horizontal="center" vertical="center"/>
      <protection/>
    </xf>
    <xf numFmtId="0" fontId="52" fillId="0" borderId="107" xfId="59" applyFont="1" applyFill="1" applyBorder="1" applyAlignment="1">
      <alignment horizontal="center" vertical="center"/>
      <protection/>
    </xf>
    <xf numFmtId="0" fontId="52" fillId="34" borderId="188" xfId="59" applyFont="1" applyFill="1" applyBorder="1" applyAlignment="1">
      <alignment horizontal="center" vertical="center"/>
      <protection/>
    </xf>
    <xf numFmtId="0" fontId="52" fillId="34" borderId="288" xfId="59" applyFont="1" applyFill="1" applyBorder="1" applyAlignment="1">
      <alignment horizontal="center" vertical="center"/>
      <protection/>
    </xf>
    <xf numFmtId="0" fontId="123" fillId="0" borderId="251" xfId="0" applyFont="1" applyFill="1" applyBorder="1" applyAlignment="1">
      <alignment horizontal="left" vertical="center"/>
    </xf>
    <xf numFmtId="0" fontId="123" fillId="0" borderId="259" xfId="0" applyFont="1" applyFill="1" applyBorder="1" applyAlignment="1">
      <alignment horizontal="left" vertical="center"/>
    </xf>
    <xf numFmtId="0" fontId="123" fillId="0" borderId="260" xfId="0" applyFont="1" applyFill="1" applyBorder="1" applyAlignment="1">
      <alignment horizontal="left" vertical="center"/>
    </xf>
    <xf numFmtId="0" fontId="123" fillId="0" borderId="289" xfId="0" applyFont="1" applyFill="1" applyBorder="1" applyAlignment="1">
      <alignment horizontal="left" vertical="center"/>
    </xf>
    <xf numFmtId="0" fontId="123" fillId="0" borderId="100" xfId="0" applyFont="1" applyFill="1" applyBorder="1" applyAlignment="1">
      <alignment horizontal="left" vertical="center"/>
    </xf>
    <xf numFmtId="0" fontId="123" fillId="0" borderId="290" xfId="0" applyFont="1" applyFill="1" applyBorder="1" applyAlignment="1">
      <alignment horizontal="left" vertical="center"/>
    </xf>
    <xf numFmtId="0" fontId="52" fillId="0" borderId="30" xfId="59" applyFont="1" applyFill="1" applyBorder="1" applyAlignment="1">
      <alignment horizontal="center" vertical="center"/>
      <protection/>
    </xf>
    <xf numFmtId="0" fontId="128" fillId="34" borderId="108" xfId="59" applyFont="1" applyFill="1" applyBorder="1" applyAlignment="1">
      <alignment horizontal="center" vertical="center"/>
      <protection/>
    </xf>
    <xf numFmtId="0" fontId="52" fillId="34" borderId="291" xfId="59" applyFont="1" applyFill="1" applyBorder="1" applyAlignment="1">
      <alignment horizontal="center" vertical="center"/>
      <protection/>
    </xf>
    <xf numFmtId="0" fontId="52" fillId="34" borderId="112" xfId="59" applyFont="1" applyFill="1" applyBorder="1" applyAlignment="1">
      <alignment horizontal="center" vertical="center"/>
      <protection/>
    </xf>
    <xf numFmtId="0" fontId="56" fillId="34" borderId="292" xfId="59" applyFont="1" applyFill="1" applyBorder="1" applyAlignment="1">
      <alignment horizontal="center" vertical="center" wrapText="1"/>
      <protection/>
    </xf>
    <xf numFmtId="0" fontId="56" fillId="34" borderId="293" xfId="59" applyFont="1" applyFill="1" applyBorder="1" applyAlignment="1">
      <alignment horizontal="center" vertical="center" wrapText="1"/>
      <protection/>
    </xf>
    <xf numFmtId="0" fontId="56" fillId="34" borderId="294" xfId="59" applyFont="1" applyFill="1" applyBorder="1" applyAlignment="1">
      <alignment horizontal="center" vertical="center" wrapText="1"/>
      <protection/>
    </xf>
    <xf numFmtId="0" fontId="56" fillId="34" borderId="148" xfId="59" applyFont="1" applyFill="1" applyBorder="1" applyAlignment="1">
      <alignment horizontal="center" vertical="center" wrapText="1"/>
      <protection/>
    </xf>
    <xf numFmtId="0" fontId="128" fillId="34" borderId="295" xfId="59" applyFont="1" applyFill="1" applyBorder="1" applyAlignment="1">
      <alignment horizontal="center" vertical="center"/>
      <protection/>
    </xf>
    <xf numFmtId="0" fontId="128" fillId="34" borderId="296" xfId="59" applyFont="1" applyFill="1" applyBorder="1" applyAlignment="1">
      <alignment horizontal="center" vertical="center"/>
      <protection/>
    </xf>
    <xf numFmtId="0" fontId="56" fillId="34" borderId="297" xfId="59" applyFont="1" applyFill="1" applyBorder="1" applyAlignment="1">
      <alignment horizontal="center" vertical="center" wrapText="1"/>
      <protection/>
    </xf>
    <xf numFmtId="0" fontId="56" fillId="34" borderId="298" xfId="59" applyFont="1" applyFill="1" applyBorder="1" applyAlignment="1">
      <alignment horizontal="center" vertical="center" wrapText="1"/>
      <protection/>
    </xf>
    <xf numFmtId="0" fontId="44" fillId="34" borderId="297" xfId="59" applyFont="1" applyFill="1" applyBorder="1" applyAlignment="1">
      <alignment horizontal="center" vertical="center"/>
      <protection/>
    </xf>
    <xf numFmtId="0" fontId="44" fillId="34" borderId="98" xfId="59" applyFont="1" applyFill="1" applyBorder="1" applyAlignment="1">
      <alignment horizontal="center" vertical="center"/>
      <protection/>
    </xf>
    <xf numFmtId="0" fontId="44" fillId="34" borderId="299"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45" xfId="59" applyFont="1" applyFill="1" applyBorder="1" applyAlignment="1">
      <alignment horizontal="center" vertical="center"/>
      <protection/>
    </xf>
    <xf numFmtId="0" fontId="44" fillId="34" borderId="300" xfId="59" applyFont="1" applyFill="1" applyBorder="1" applyAlignment="1">
      <alignment horizontal="center" vertical="center"/>
      <protection/>
    </xf>
    <xf numFmtId="0" fontId="94" fillId="0" borderId="251" xfId="0" applyFont="1" applyFill="1" applyBorder="1" applyAlignment="1" applyProtection="1">
      <alignment horizontal="left" vertical="center"/>
      <protection locked="0"/>
    </xf>
    <xf numFmtId="0" fontId="94" fillId="0" borderId="259" xfId="0" applyFont="1" applyFill="1" applyBorder="1" applyAlignment="1" applyProtection="1">
      <alignment horizontal="left" vertical="center"/>
      <protection locked="0"/>
    </xf>
    <xf numFmtId="14" fontId="94" fillId="0" borderId="251" xfId="0" applyNumberFormat="1" applyFont="1" applyFill="1" applyBorder="1" applyAlignment="1" applyProtection="1">
      <alignment horizontal="left" vertical="center"/>
      <protection locked="0"/>
    </xf>
    <xf numFmtId="14" fontId="94" fillId="0" borderId="259" xfId="0" applyNumberFormat="1" applyFont="1" applyFill="1" applyBorder="1" applyAlignment="1" applyProtection="1">
      <alignment horizontal="left" vertical="center"/>
      <protection locked="0"/>
    </xf>
    <xf numFmtId="14" fontId="94" fillId="0" borderId="289" xfId="0" applyNumberFormat="1" applyFont="1" applyFill="1" applyBorder="1" applyAlignment="1" applyProtection="1">
      <alignment horizontal="left" vertical="center"/>
      <protection locked="0"/>
    </xf>
    <xf numFmtId="14" fontId="94" fillId="0" borderId="100" xfId="0" applyNumberFormat="1" applyFont="1" applyFill="1" applyBorder="1" applyAlignment="1" applyProtection="1">
      <alignment horizontal="left" vertical="center"/>
      <protection locked="0"/>
    </xf>
    <xf numFmtId="0" fontId="44" fillId="34" borderId="16" xfId="62" applyFont="1" applyFill="1" applyBorder="1" applyAlignment="1">
      <alignment horizontal="center" vertical="center" wrapText="1"/>
      <protection/>
    </xf>
    <xf numFmtId="0" fontId="44" fillId="34" borderId="17" xfId="62" applyFont="1" applyFill="1" applyBorder="1" applyAlignment="1">
      <alignment horizontal="center" vertical="center" wrapText="1"/>
      <protection/>
    </xf>
    <xf numFmtId="0" fontId="44" fillId="34" borderId="26" xfId="62" applyFont="1" applyFill="1" applyBorder="1" applyAlignment="1">
      <alignment horizontal="center" vertical="center" wrapText="1"/>
      <protection/>
    </xf>
    <xf numFmtId="0" fontId="44" fillId="34" borderId="138" xfId="62" applyFont="1" applyFill="1" applyBorder="1" applyAlignment="1">
      <alignment horizontal="center" vertical="center" wrapText="1"/>
      <protection/>
    </xf>
    <xf numFmtId="0" fontId="44" fillId="34" borderId="65" xfId="62" applyFont="1" applyFill="1" applyBorder="1" applyAlignment="1">
      <alignment horizontal="center" vertical="center" wrapText="1"/>
      <protection/>
    </xf>
    <xf numFmtId="0" fontId="44" fillId="34" borderId="139" xfId="62" applyFont="1" applyFill="1" applyBorder="1" applyAlignment="1">
      <alignment horizontal="center" vertical="center" wrapText="1"/>
      <protection/>
    </xf>
    <xf numFmtId="0" fontId="44" fillId="0" borderId="42" xfId="62" applyFont="1" applyFill="1" applyBorder="1" applyAlignment="1">
      <alignment horizontal="center"/>
      <protection/>
    </xf>
    <xf numFmtId="0" fontId="44" fillId="0" borderId="43" xfId="62" applyFont="1" applyFill="1" applyBorder="1" applyAlignment="1">
      <alignment horizontal="center"/>
      <protection/>
    </xf>
    <xf numFmtId="0" fontId="44" fillId="0" borderId="72" xfId="62" applyFont="1" applyFill="1" applyBorder="1" applyAlignment="1">
      <alignment horizontal="center"/>
      <protection/>
    </xf>
    <xf numFmtId="11" fontId="44" fillId="0" borderId="18" xfId="62" applyNumberFormat="1" applyFont="1" applyFill="1" applyBorder="1" applyAlignment="1">
      <alignment horizontal="center" vertical="center" textRotation="90"/>
      <protection/>
    </xf>
    <xf numFmtId="11" fontId="44" fillId="0" borderId="21" xfId="62" applyNumberFormat="1" applyFont="1" applyFill="1" applyBorder="1" applyAlignment="1">
      <alignment horizontal="center" vertical="center" textRotation="90"/>
      <protection/>
    </xf>
    <xf numFmtId="11" fontId="44" fillId="0" borderId="44" xfId="62" applyNumberFormat="1" applyFont="1" applyFill="1" applyBorder="1" applyAlignment="1">
      <alignment horizontal="center" vertical="center" textRotation="90"/>
      <protection/>
    </xf>
    <xf numFmtId="11" fontId="44" fillId="0" borderId="46" xfId="62" applyNumberFormat="1" applyFont="1" applyFill="1" applyBorder="1" applyAlignment="1">
      <alignment horizontal="center" vertical="center" textRotation="90"/>
      <protection/>
    </xf>
    <xf numFmtId="0" fontId="83" fillId="34" borderId="0" xfId="0" applyFont="1" applyFill="1" applyBorder="1" applyAlignment="1">
      <alignment horizontal="center" vertical="center" wrapText="1"/>
    </xf>
    <xf numFmtId="0" fontId="157" fillId="34" borderId="65" xfId="0" applyFont="1" applyFill="1" applyBorder="1" applyAlignment="1">
      <alignment horizontal="center" vertical="center" wrapText="1"/>
    </xf>
    <xf numFmtId="0" fontId="44" fillId="34" borderId="301" xfId="0" applyFont="1" applyFill="1" applyBorder="1" applyAlignment="1">
      <alignment horizontal="center" vertical="center" wrapText="1"/>
    </xf>
    <xf numFmtId="0" fontId="44" fillId="34" borderId="302" xfId="0" applyFont="1" applyFill="1" applyBorder="1" applyAlignment="1">
      <alignment horizontal="center" vertical="center" wrapText="1"/>
    </xf>
    <xf numFmtId="0" fontId="44" fillId="34" borderId="56" xfId="0" applyFont="1" applyFill="1" applyBorder="1" applyAlignment="1">
      <alignment horizontal="center" vertical="center" wrapText="1"/>
    </xf>
    <xf numFmtId="0" fontId="44" fillId="34" borderId="57" xfId="0" applyFont="1" applyFill="1" applyBorder="1" applyAlignment="1">
      <alignment horizontal="center" vertical="center" wrapText="1"/>
    </xf>
    <xf numFmtId="0" fontId="44" fillId="34" borderId="64" xfId="0" applyFont="1" applyFill="1" applyBorder="1" applyAlignment="1">
      <alignment horizontal="center" vertical="center" wrapText="1"/>
    </xf>
    <xf numFmtId="0" fontId="44" fillId="34" borderId="66"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26" xfId="0" applyFont="1" applyFill="1" applyBorder="1" applyAlignment="1">
      <alignment horizontal="center" vertical="center" wrapText="1"/>
    </xf>
    <xf numFmtId="0" fontId="44" fillId="34" borderId="303" xfId="0" applyFont="1" applyFill="1" applyBorder="1" applyAlignment="1">
      <alignment horizontal="center" vertical="center" wrapText="1"/>
    </xf>
    <xf numFmtId="0" fontId="44" fillId="34" borderId="42" xfId="0" applyFont="1" applyFill="1" applyBorder="1" applyAlignment="1">
      <alignment horizontal="center" vertical="center" wrapText="1"/>
    </xf>
    <xf numFmtId="0" fontId="44" fillId="34" borderId="304"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4" fillId="34" borderId="138" xfId="0" applyFont="1" applyFill="1" applyBorder="1" applyAlignment="1">
      <alignment horizontal="center" vertical="center" wrapText="1"/>
    </xf>
    <xf numFmtId="183" fontId="44" fillId="34" borderId="289" xfId="42" applyNumberFormat="1" applyFont="1" applyFill="1" applyBorder="1" applyAlignment="1">
      <alignment horizontal="center" vertical="center"/>
    </xf>
    <xf numFmtId="183" fontId="44" fillId="34" borderId="305" xfId="42" applyNumberFormat="1" applyFont="1" applyFill="1" applyBorder="1" applyAlignment="1">
      <alignment horizontal="center" vertical="center"/>
    </xf>
    <xf numFmtId="0" fontId="44" fillId="34" borderId="306" xfId="0" applyFont="1" applyFill="1" applyBorder="1" applyAlignment="1">
      <alignment horizontal="center" vertical="center" wrapText="1"/>
    </xf>
    <xf numFmtId="0" fontId="44" fillId="34" borderId="110" xfId="0" applyFont="1" applyFill="1" applyBorder="1" applyAlignment="1">
      <alignment horizontal="center" vertical="center" wrapText="1"/>
    </xf>
    <xf numFmtId="0" fontId="44" fillId="34" borderId="307" xfId="0" applyFont="1" applyFill="1" applyBorder="1" applyAlignment="1">
      <alignment horizontal="center" vertical="center" wrapText="1"/>
    </xf>
    <xf numFmtId="0" fontId="44" fillId="34" borderId="308" xfId="0" applyFont="1" applyFill="1" applyBorder="1" applyAlignment="1">
      <alignment horizontal="center" vertical="center" wrapText="1"/>
    </xf>
    <xf numFmtId="0" fontId="44" fillId="34" borderId="309" xfId="0" applyFont="1" applyFill="1" applyBorder="1" applyAlignment="1">
      <alignment horizontal="center" vertical="center" wrapText="1"/>
    </xf>
    <xf numFmtId="2" fontId="38" fillId="34" borderId="53" xfId="0" applyNumberFormat="1" applyFont="1" applyFill="1" applyBorder="1" applyAlignment="1">
      <alignment horizontal="center" vertical="center" wrapText="1"/>
    </xf>
    <xf numFmtId="2" fontId="38" fillId="34" borderId="54" xfId="0" applyNumberFormat="1" applyFont="1" applyFill="1" applyBorder="1" applyAlignment="1">
      <alignment horizontal="center" vertical="center" wrapText="1"/>
    </xf>
    <xf numFmtId="2" fontId="38" fillId="34" borderId="310" xfId="0" applyNumberFormat="1" applyFont="1" applyFill="1" applyBorder="1" applyAlignment="1">
      <alignment horizontal="center" vertical="center" wrapText="1"/>
    </xf>
    <xf numFmtId="2" fontId="38" fillId="34" borderId="56" xfId="0" applyNumberFormat="1" applyFont="1" applyFill="1" applyBorder="1" applyAlignment="1">
      <alignment horizontal="center" vertical="center" wrapText="1"/>
    </xf>
    <xf numFmtId="2" fontId="38" fillId="34" borderId="0" xfId="0" applyNumberFormat="1" applyFont="1" applyFill="1" applyBorder="1" applyAlignment="1">
      <alignment horizontal="center" vertical="center" wrapText="1"/>
    </xf>
    <xf numFmtId="2" fontId="38" fillId="34" borderId="27" xfId="0" applyNumberFormat="1" applyFont="1" applyFill="1" applyBorder="1" applyAlignment="1">
      <alignment horizontal="center" vertical="center" wrapText="1"/>
    </xf>
    <xf numFmtId="2" fontId="38" fillId="34" borderId="157" xfId="0" applyNumberFormat="1" applyFont="1" applyFill="1" applyBorder="1" applyAlignment="1">
      <alignment horizontal="center" vertical="center" wrapText="1"/>
    </xf>
    <xf numFmtId="2" fontId="38" fillId="34" borderId="22" xfId="0" applyNumberFormat="1" applyFont="1" applyFill="1" applyBorder="1" applyAlignment="1">
      <alignment horizontal="center" vertical="center" wrapText="1"/>
    </xf>
    <xf numFmtId="2" fontId="38" fillId="34" borderId="52" xfId="0" applyNumberFormat="1" applyFont="1" applyFill="1" applyBorder="1" applyAlignment="1">
      <alignment horizontal="center" vertical="center" wrapText="1"/>
    </xf>
    <xf numFmtId="168" fontId="44" fillId="34" borderId="288" xfId="0" applyNumberFormat="1" applyFont="1" applyFill="1" applyBorder="1" applyAlignment="1">
      <alignment horizontal="center" vertical="center"/>
    </xf>
    <xf numFmtId="168" fontId="44" fillId="34" borderId="55" xfId="0" applyNumberFormat="1" applyFont="1" applyFill="1" applyBorder="1" applyAlignment="1">
      <alignment horizontal="center" vertical="center"/>
    </xf>
    <xf numFmtId="168" fontId="44" fillId="34" borderId="121" xfId="0" applyNumberFormat="1" applyFont="1" applyFill="1" applyBorder="1" applyAlignment="1">
      <alignment horizontal="center" vertical="center"/>
    </xf>
    <xf numFmtId="168" fontId="44" fillId="34" borderId="57" xfId="0" applyNumberFormat="1" applyFont="1" applyFill="1" applyBorder="1" applyAlignment="1">
      <alignment horizontal="center" vertical="center"/>
    </xf>
    <xf numFmtId="168" fontId="44" fillId="34" borderId="284" xfId="0" applyNumberFormat="1" applyFont="1" applyFill="1" applyBorder="1" applyAlignment="1">
      <alignment horizontal="center" vertical="center"/>
    </xf>
    <xf numFmtId="168" fontId="44" fillId="34" borderId="158" xfId="0" applyNumberFormat="1" applyFont="1" applyFill="1" applyBorder="1" applyAlignment="1">
      <alignment horizontal="center" vertical="center"/>
    </xf>
    <xf numFmtId="0" fontId="85" fillId="34" borderId="311" xfId="0" applyFont="1" applyFill="1" applyBorder="1" applyAlignment="1">
      <alignment horizontal="center" vertical="center" wrapText="1"/>
    </xf>
    <xf numFmtId="0" fontId="85" fillId="34" borderId="312" xfId="0" applyFont="1" applyFill="1" applyBorder="1" applyAlignment="1">
      <alignment horizontal="center" vertical="center" wrapText="1"/>
    </xf>
    <xf numFmtId="0" fontId="85" fillId="34" borderId="313" xfId="0" applyFont="1" applyFill="1" applyBorder="1" applyAlignment="1">
      <alignment horizontal="center" wrapText="1"/>
    </xf>
    <xf numFmtId="0" fontId="85" fillId="34" borderId="314" xfId="0" applyFont="1" applyFill="1" applyBorder="1" applyAlignment="1">
      <alignment horizontal="center" wrapText="1"/>
    </xf>
    <xf numFmtId="0" fontId="52" fillId="34" borderId="72" xfId="0" applyFont="1" applyFill="1" applyBorder="1" applyAlignment="1">
      <alignment horizontal="center" vertical="center"/>
    </xf>
    <xf numFmtId="0" fontId="52" fillId="34" borderId="42" xfId="0" applyFont="1" applyFill="1" applyBorder="1" applyAlignment="1">
      <alignment horizontal="center" vertical="center"/>
    </xf>
    <xf numFmtId="0" fontId="52" fillId="34" borderId="304" xfId="0" applyFont="1" applyFill="1" applyBorder="1" applyAlignment="1">
      <alignment horizontal="center" vertical="center"/>
    </xf>
    <xf numFmtId="168" fontId="44" fillId="34" borderId="298" xfId="0" applyNumberFormat="1" applyFont="1" applyFill="1" applyBorder="1" applyAlignment="1">
      <alignment horizontal="center" vertical="center"/>
    </xf>
    <xf numFmtId="168" fontId="44" fillId="34" borderId="293" xfId="0" applyNumberFormat="1" applyFont="1" applyFill="1" applyBorder="1" applyAlignment="1">
      <alignment horizontal="center" vertical="center"/>
    </xf>
    <xf numFmtId="168" fontId="44" fillId="34" borderId="148" xfId="0" applyNumberFormat="1" applyFont="1" applyFill="1" applyBorder="1" applyAlignment="1">
      <alignment horizontal="center" vertical="center"/>
    </xf>
    <xf numFmtId="0" fontId="52" fillId="34" borderId="303" xfId="0" applyFont="1" applyFill="1" applyBorder="1" applyAlignment="1">
      <alignment horizontal="center" vertical="center"/>
    </xf>
    <xf numFmtId="0" fontId="52" fillId="34" borderId="43" xfId="0" applyFont="1" applyFill="1" applyBorder="1" applyAlignment="1">
      <alignment horizontal="center" vertical="center"/>
    </xf>
    <xf numFmtId="2" fontId="44" fillId="34" borderId="315" xfId="0" applyNumberFormat="1" applyFont="1" applyFill="1" applyBorder="1" applyAlignment="1">
      <alignment horizontal="center" vertical="center"/>
    </xf>
    <xf numFmtId="2" fontId="44" fillId="34" borderId="316" xfId="0" applyNumberFormat="1" applyFont="1" applyFill="1" applyBorder="1" applyAlignment="1">
      <alignment horizontal="center" vertical="center"/>
    </xf>
    <xf numFmtId="2" fontId="44" fillId="34" borderId="77" xfId="0" applyNumberFormat="1" applyFont="1" applyFill="1" applyBorder="1" applyAlignment="1">
      <alignment horizontal="center" vertical="center"/>
    </xf>
    <xf numFmtId="2" fontId="44" fillId="34" borderId="317" xfId="0" applyNumberFormat="1" applyFont="1" applyFill="1" applyBorder="1" applyAlignment="1">
      <alignment horizontal="center" vertical="center"/>
    </xf>
    <xf numFmtId="2" fontId="44" fillId="34" borderId="318" xfId="0" applyNumberFormat="1" applyFont="1" applyFill="1" applyBorder="1" applyAlignment="1">
      <alignment horizontal="center" vertical="center"/>
    </xf>
    <xf numFmtId="2" fontId="44" fillId="34" borderId="319" xfId="0" applyNumberFormat="1" applyFont="1" applyFill="1" applyBorder="1" applyAlignment="1">
      <alignment horizontal="center" vertical="center"/>
    </xf>
    <xf numFmtId="0" fontId="85" fillId="34" borderId="320" xfId="0" applyFont="1" applyFill="1" applyBorder="1" applyAlignment="1">
      <alignment horizontal="center" wrapText="1"/>
    </xf>
    <xf numFmtId="9" fontId="44" fillId="34" borderId="321" xfId="65" applyFont="1" applyFill="1" applyBorder="1" applyAlignment="1">
      <alignment horizontal="center" vertical="center"/>
    </xf>
    <xf numFmtId="9" fontId="44" fillId="34" borderId="221" xfId="65" applyFont="1" applyFill="1" applyBorder="1" applyAlignment="1">
      <alignment horizontal="center" vertical="center"/>
    </xf>
    <xf numFmtId="0" fontId="48" fillId="0" borderId="0" xfId="59" applyFont="1" applyFill="1" applyAlignment="1">
      <alignment horizontal="center" wrapText="1"/>
      <protection/>
    </xf>
    <xf numFmtId="0" fontId="14" fillId="34" borderId="322" xfId="59" applyFont="1" applyFill="1" applyBorder="1" applyAlignment="1" applyProtection="1">
      <alignment horizontal="center" vertical="center"/>
      <protection/>
    </xf>
    <xf numFmtId="0" fontId="7" fillId="34" borderId="322" xfId="59" applyFill="1" applyBorder="1" applyAlignment="1">
      <alignment horizontal="center" vertical="center"/>
      <protection/>
    </xf>
    <xf numFmtId="0" fontId="7" fillId="34" borderId="221" xfId="59" applyFill="1" applyBorder="1" applyAlignment="1">
      <alignment horizontal="center" vertical="center"/>
      <protection/>
    </xf>
    <xf numFmtId="0" fontId="14" fillId="34" borderId="222" xfId="59" applyFont="1" applyFill="1" applyBorder="1" applyAlignment="1">
      <alignment horizontal="center" vertical="center"/>
      <protection/>
    </xf>
    <xf numFmtId="0" fontId="14" fillId="34" borderId="322" xfId="59" applyFont="1" applyFill="1" applyBorder="1" applyAlignment="1">
      <alignment horizontal="center" vertical="center"/>
      <protection/>
    </xf>
    <xf numFmtId="0" fontId="14" fillId="34" borderId="323" xfId="59"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5_Tier1_ NAnalToolPetroMTCA10" xfId="57"/>
    <cellStyle name="Normal_Book2" xfId="58"/>
    <cellStyle name="Normal_bork2" xfId="59"/>
    <cellStyle name="Normal_SOILMOD_benzene" xfId="60"/>
    <cellStyle name="Normal_steady_state" xfId="61"/>
    <cellStyle name="Normal_surfaceloading"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Groundwater  Concentration along Plume Centerline (at z=0)</a:t>
            </a:r>
          </a:p>
        </c:rich>
      </c:tx>
      <c:layout>
        <c:manualLayout>
          <c:xMode val="factor"/>
          <c:yMode val="factor"/>
          <c:x val="0.018"/>
          <c:y val="0"/>
        </c:manualLayout>
      </c:layout>
      <c:spPr>
        <a:noFill/>
        <a:ln>
          <a:noFill/>
        </a:ln>
      </c:spPr>
    </c:title>
    <c:plotArea>
      <c:layout>
        <c:manualLayout>
          <c:xMode val="edge"/>
          <c:yMode val="edge"/>
          <c:x val="0.06175"/>
          <c:y val="0.057"/>
          <c:w val="0.93075"/>
          <c:h val="0.8875"/>
        </c:manualLayout>
      </c:layout>
      <c:scatterChart>
        <c:scatterStyle val="lineMarker"/>
        <c:varyColors val="0"/>
        <c:ser>
          <c:idx val="2"/>
          <c:order val="0"/>
          <c:tx>
            <c:strRef>
              <c:f>'Centerline Output'!$A$164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Output'!$B$163:$L$163</c:f>
              <c:numCache/>
            </c:numRef>
          </c:xVal>
          <c:yVal>
            <c:numRef>
              <c:f>'Centerline Output'!$B$164:$L$164</c:f>
              <c:numCache/>
            </c:numRef>
          </c:yVal>
          <c:smooth val="0"/>
        </c:ser>
        <c:ser>
          <c:idx val="3"/>
          <c:order val="1"/>
          <c:tx>
            <c:strRef>
              <c:f>'Centerline Output'!$A$165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Output'!$B$163:$L$163</c:f>
              <c:numCache/>
            </c:numRef>
          </c:xVal>
          <c:yVal>
            <c:numRef>
              <c:f>'Centerline Output'!$B$165:$L$165</c:f>
              <c:numCache/>
            </c:numRef>
          </c:yVal>
          <c:smooth val="0"/>
        </c:ser>
        <c:ser>
          <c:idx val="1"/>
          <c:order val="2"/>
          <c:tx>
            <c:strRef>
              <c:f>'Centerline Output'!$A$166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Output'!$B$163:$L$163</c:f>
              <c:numCache/>
            </c:numRef>
          </c:xVal>
          <c:yVal>
            <c:numRef>
              <c:f>'Centerline Output'!$B$166:$L$166</c:f>
              <c:numCache/>
            </c:numRef>
          </c:yVal>
          <c:smooth val="0"/>
        </c:ser>
        <c:ser>
          <c:idx val="4"/>
          <c:order val="3"/>
          <c:tx>
            <c:strRef>
              <c:f>'Centerline Output'!$A$167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Output'!$B$163:$L$163</c:f>
              <c:numCache/>
            </c:numRef>
          </c:xVal>
          <c:yVal>
            <c:numRef>
              <c:f>'Centerline Output'!$B$167:$L$167</c:f>
              <c:numCache/>
            </c:numRef>
          </c:yVal>
          <c:smooth val="0"/>
        </c:ser>
        <c:axId val="4128893"/>
        <c:axId val="37160038"/>
      </c:scatterChart>
      <c:valAx>
        <c:axId val="4128893"/>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9"/>
              <c:y val="-0.0065"/>
            </c:manualLayout>
          </c:layout>
          <c:overlay val="0"/>
          <c:spPr>
            <a:noFill/>
            <a:ln>
              <a:noFill/>
            </a:ln>
          </c:spPr>
        </c:title>
        <c:majorGridlines>
          <c:spPr>
            <a:ln w="3175">
              <a:solidFill>
                <a:srgbClr val="000000"/>
              </a:solidFill>
              <a:prstDash val="sysDot"/>
            </a:ln>
          </c:spPr>
        </c:majorGridlines>
        <c:delete val="0"/>
        <c:numFmt formatCode="0" sourceLinked="0"/>
        <c:majorTickMark val="cross"/>
        <c:minorTickMark val="out"/>
        <c:tickLblPos val="nextTo"/>
        <c:spPr>
          <a:ln w="12700">
            <a:solidFill>
              <a:srgbClr val="000000"/>
            </a:solidFill>
          </a:ln>
        </c:spPr>
        <c:txPr>
          <a:bodyPr vert="horz" rot="0"/>
          <a:lstStyle/>
          <a:p>
            <a:pPr>
              <a:defRPr lang="en-US" cap="none" sz="1200" b="0" i="0" u="none" baseline="0">
                <a:solidFill>
                  <a:srgbClr val="000000"/>
                </a:solidFill>
              </a:defRPr>
            </a:pPr>
          </a:p>
        </c:txPr>
        <c:crossAx val="37160038"/>
        <c:crossesAt val="0"/>
        <c:crossBetween val="midCat"/>
        <c:dispUnits/>
      </c:valAx>
      <c:valAx>
        <c:axId val="37160038"/>
        <c:scaling>
          <c:orientation val="minMax"/>
          <c:min val="0"/>
        </c:scaling>
        <c:axPos val="l"/>
        <c:title>
          <c:tx>
            <c:rich>
              <a:bodyPr vert="horz" rot="-5400000" anchor="ctr"/>
              <a:lstStyle/>
              <a:p>
                <a:pPr algn="ctr">
                  <a:defRPr/>
                </a:pPr>
                <a:r>
                  <a:rPr lang="en-US" cap="none" sz="700" b="1" i="0" u="none" baseline="0">
                    <a:solidFill>
                      <a:srgbClr val="000000"/>
                    </a:solidFill>
                  </a:rPr>
                  <a:t>Conc, ug/L</a:t>
                </a:r>
              </a:p>
            </c:rich>
          </c:tx>
          <c:layout>
            <c:manualLayout>
              <c:xMode val="factor"/>
              <c:yMode val="factor"/>
              <c:x val="0"/>
              <c:y val="0"/>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128893"/>
        <c:crosses val="autoZero"/>
        <c:crossBetween val="midCat"/>
        <c:dispUnits/>
      </c:valAx>
      <c:spPr>
        <a:solidFill>
          <a:srgbClr val="C0C0C0"/>
        </a:solidFill>
        <a:ln w="12700">
          <a:solidFill>
            <a:srgbClr val="000000"/>
          </a:solidFill>
        </a:ln>
      </c:spPr>
    </c:plotArea>
    <c:legend>
      <c:legendPos val="r"/>
      <c:layout>
        <c:manualLayout>
          <c:xMode val="edge"/>
          <c:yMode val="edge"/>
          <c:x val="0.7895"/>
          <c:y val="0.14275"/>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x-distance at a simulation time given above (@ y=0)</a:t>
            </a:r>
          </a:p>
        </c:rich>
      </c:tx>
      <c:layout>
        <c:manualLayout>
          <c:xMode val="factor"/>
          <c:yMode val="factor"/>
          <c:x val="0.0225"/>
          <c:y val="-0.01975"/>
        </c:manualLayout>
      </c:layout>
      <c:spPr>
        <a:noFill/>
        <a:ln>
          <a:noFill/>
        </a:ln>
      </c:spPr>
    </c:title>
    <c:plotArea>
      <c:layout>
        <c:manualLayout>
          <c:xMode val="edge"/>
          <c:yMode val="edge"/>
          <c:x val="0.05625"/>
          <c:y val="0.09225"/>
          <c:w val="0.92925"/>
          <c:h val="0.8442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steady_state!$E$132:$P$132</c:f>
              <c:numCache/>
            </c:numRef>
          </c:xVal>
          <c:yVal>
            <c:numRef>
              <c:f>steady_state!$E$135:$P$135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steady_state!$E$132:$P$132</c:f>
              <c:numCache/>
            </c:numRef>
          </c:xVal>
          <c:yVal>
            <c:numRef>
              <c:f>steady_state!$E$141:$P$141</c:f>
              <c:numCache/>
            </c:numRef>
          </c:yVal>
          <c:smooth val="1"/>
        </c:ser>
        <c:axId val="9567786"/>
        <c:axId val="19001211"/>
      </c:scatterChart>
      <c:valAx>
        <c:axId val="9567786"/>
        <c:scaling>
          <c:orientation val="minMax"/>
        </c:scaling>
        <c:axPos val="b"/>
        <c:title>
          <c:tx>
            <c:rich>
              <a:bodyPr vert="horz" rot="0" anchor="ctr"/>
              <a:lstStyle/>
              <a:p>
                <a:pPr algn="ctr">
                  <a:defRPr/>
                </a:pPr>
                <a:r>
                  <a:rPr lang="en-US" cap="none" sz="950" b="1" i="0" u="none" baseline="0">
                    <a:solidFill>
                      <a:srgbClr val="000000"/>
                    </a:solidFill>
                  </a:rPr>
                  <a:t>Centerline Distance From Source, x-direction, ft</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9001211"/>
        <c:crossesAt val="0.001"/>
        <c:crossBetween val="midCat"/>
        <c:dispUnits/>
      </c:valAx>
      <c:valAx>
        <c:axId val="19001211"/>
        <c:scaling>
          <c:orientation val="minMax"/>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15"/>
              <c:y val="0.005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567786"/>
        <c:crosses val="autoZero"/>
        <c:crossBetween val="midCat"/>
        <c:dispUnits/>
      </c:valAx>
      <c:spPr>
        <a:solidFill>
          <a:srgbClr val="C0C0C0"/>
        </a:solidFill>
        <a:ln w="12700">
          <a:solidFill>
            <a:srgbClr val="808080"/>
          </a:solidFill>
        </a:ln>
      </c:spPr>
    </c:plotArea>
    <c:legend>
      <c:legendPos val="r"/>
      <c:layout>
        <c:manualLayout>
          <c:xMode val="edge"/>
          <c:yMode val="edge"/>
          <c:x val="0.5895"/>
          <c:y val="0.145"/>
          <c:w val="0.3415"/>
          <c:h val="0.077"/>
        </c:manualLayout>
      </c:layout>
      <c:overlay val="0"/>
      <c:spPr>
        <a:solidFill>
          <a:srgbClr val="C0C0C0"/>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simulation time at a receptor's location given above</a:t>
            </a:r>
          </a:p>
        </c:rich>
      </c:tx>
      <c:layout>
        <c:manualLayout>
          <c:xMode val="factor"/>
          <c:yMode val="factor"/>
          <c:x val="0.02375"/>
          <c:y val="-0.01975"/>
        </c:manualLayout>
      </c:layout>
      <c:spPr>
        <a:noFill/>
        <a:ln>
          <a:noFill/>
        </a:ln>
      </c:spPr>
    </c:title>
    <c:plotArea>
      <c:layout>
        <c:manualLayout>
          <c:xMode val="edge"/>
          <c:yMode val="edge"/>
          <c:x val="0.043"/>
          <c:y val="0.08275"/>
          <c:w val="0.93525"/>
          <c:h val="0.8597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steady_state!$E$152:$O$152</c:f>
              <c:numCache/>
            </c:numRef>
          </c:xVal>
          <c:yVal>
            <c:numRef>
              <c:f>steady_state!$E$155:$O$155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steady_state!$E$152:$O$152</c:f>
              <c:numCache/>
            </c:numRef>
          </c:xVal>
          <c:yVal>
            <c:numRef>
              <c:f>steady_state!$E$162:$O$162</c:f>
              <c:numCache/>
            </c:numRef>
          </c:yVal>
          <c:smooth val="1"/>
        </c:ser>
        <c:axId val="36793172"/>
        <c:axId val="62703093"/>
      </c:scatterChart>
      <c:valAx>
        <c:axId val="36793172"/>
        <c:scaling>
          <c:orientation val="minMax"/>
        </c:scaling>
        <c:axPos val="b"/>
        <c:title>
          <c:tx>
            <c:rich>
              <a:bodyPr vert="horz" rot="0" anchor="ctr"/>
              <a:lstStyle/>
              <a:p>
                <a:pPr algn="ctr">
                  <a:defRPr/>
                </a:pPr>
                <a:r>
                  <a:rPr lang="en-US" cap="none" sz="800" b="1" i="0" u="none" baseline="0">
                    <a:solidFill>
                      <a:srgbClr val="000000"/>
                    </a:solidFill>
                  </a:rPr>
                  <a:t>Simulation Time, yr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703093"/>
        <c:crosses val="autoZero"/>
        <c:crossBetween val="midCat"/>
        <c:dispUnits/>
      </c:valAx>
      <c:valAx>
        <c:axId val="62703093"/>
        <c:scaling>
          <c:orientation val="minMax"/>
          <c:min val="0"/>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475"/>
              <c:y val="0.00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36793172"/>
        <c:crosses val="autoZero"/>
        <c:crossBetween val="midCat"/>
        <c:dispUnits/>
      </c:valAx>
      <c:spPr>
        <a:solidFill>
          <a:srgbClr val="C0C0C0"/>
        </a:solidFill>
        <a:ln w="12700">
          <a:solidFill>
            <a:srgbClr val="808080"/>
          </a:solidFill>
        </a:ln>
      </c:spPr>
    </c:plotArea>
    <c:legend>
      <c:legendPos val="r"/>
      <c:layout>
        <c:manualLayout>
          <c:xMode val="edge"/>
          <c:yMode val="edge"/>
          <c:x val="0.46125"/>
          <c:y val="0.456"/>
          <c:w val="0.354"/>
          <c:h val="0.08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Normalized Groundwater Concentration along Plume Centerline (at z=0)</a:t>
            </a:r>
          </a:p>
        </c:rich>
      </c:tx>
      <c:layout>
        <c:manualLayout>
          <c:xMode val="factor"/>
          <c:yMode val="factor"/>
          <c:x val="0.01975"/>
          <c:y val="0"/>
        </c:manualLayout>
      </c:layout>
      <c:spPr>
        <a:noFill/>
        <a:ln>
          <a:noFill/>
        </a:ln>
      </c:spPr>
    </c:title>
    <c:plotArea>
      <c:layout>
        <c:manualLayout>
          <c:xMode val="edge"/>
          <c:yMode val="edge"/>
          <c:x val="0.0695"/>
          <c:y val="0.05325"/>
          <c:w val="0.92325"/>
          <c:h val="0.89125"/>
        </c:manualLayout>
      </c:layout>
      <c:scatterChart>
        <c:scatterStyle val="lineMarker"/>
        <c:varyColors val="0"/>
        <c:ser>
          <c:idx val="2"/>
          <c:order val="0"/>
          <c:tx>
            <c:strRef>
              <c:f>'Centerline Output'!$A$174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Output'!$B$173:$L$173</c:f>
              <c:numCache/>
            </c:numRef>
          </c:xVal>
          <c:yVal>
            <c:numRef>
              <c:f>'Centerline Output'!$B$174:$L$174</c:f>
              <c:numCache/>
            </c:numRef>
          </c:yVal>
          <c:smooth val="0"/>
        </c:ser>
        <c:ser>
          <c:idx val="3"/>
          <c:order val="1"/>
          <c:tx>
            <c:strRef>
              <c:f>'Centerline Output'!$A$175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Output'!$B$173:$L$173</c:f>
              <c:numCache/>
            </c:numRef>
          </c:xVal>
          <c:yVal>
            <c:numRef>
              <c:f>'Centerline Output'!$B$175:$L$175</c:f>
              <c:numCache/>
            </c:numRef>
          </c:yVal>
          <c:smooth val="0"/>
        </c:ser>
        <c:ser>
          <c:idx val="1"/>
          <c:order val="2"/>
          <c:tx>
            <c:strRef>
              <c:f>'Centerline Output'!$A$176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Output'!$B$173:$L$173</c:f>
              <c:numCache/>
            </c:numRef>
          </c:xVal>
          <c:yVal>
            <c:numRef>
              <c:f>'Centerline Output'!$B$176:$L$176</c:f>
              <c:numCache/>
            </c:numRef>
          </c:yVal>
          <c:smooth val="0"/>
        </c:ser>
        <c:ser>
          <c:idx val="4"/>
          <c:order val="3"/>
          <c:tx>
            <c:strRef>
              <c:f>'Centerline Output'!$A$177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Output'!$B$173:$L$173</c:f>
              <c:numCache/>
            </c:numRef>
          </c:xVal>
          <c:yVal>
            <c:numRef>
              <c:f>'Centerline Output'!$B$177:$L$177</c:f>
              <c:numCache/>
            </c:numRef>
          </c:yVal>
          <c:smooth val="0"/>
        </c:ser>
        <c:axId val="66004887"/>
        <c:axId val="57173072"/>
      </c:scatterChart>
      <c:valAx>
        <c:axId val="66004887"/>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875"/>
              <c:y val="-0.006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out"/>
        <c:tickLblPos val="low"/>
        <c:spPr>
          <a:ln w="12700">
            <a:solidFill>
              <a:srgbClr val="000000"/>
            </a:solidFill>
          </a:ln>
        </c:spPr>
        <c:txPr>
          <a:bodyPr vert="horz" rot="0"/>
          <a:lstStyle/>
          <a:p>
            <a:pPr>
              <a:defRPr lang="en-US" cap="none" sz="1200" b="0" i="0" u="none" baseline="0">
                <a:solidFill>
                  <a:srgbClr val="000000"/>
                </a:solidFill>
              </a:defRPr>
            </a:pPr>
          </a:p>
        </c:txPr>
        <c:crossAx val="57173072"/>
        <c:crosses val="autoZero"/>
        <c:crossBetween val="midCat"/>
        <c:dispUnits/>
      </c:valAx>
      <c:valAx>
        <c:axId val="57173072"/>
        <c:scaling>
          <c:logBase val="10"/>
          <c:orientation val="minMax"/>
        </c:scaling>
        <c:axPos val="l"/>
        <c:title>
          <c:tx>
            <c:rich>
              <a:bodyPr vert="horz" rot="-5400000" anchor="ctr"/>
              <a:lstStyle/>
              <a:p>
                <a:pPr algn="ctr">
                  <a:defRPr/>
                </a:pPr>
                <a:r>
                  <a:rPr lang="en-US" cap="none" sz="700" b="1" i="0" u="none" baseline="0">
                    <a:solidFill>
                      <a:srgbClr val="000000"/>
                    </a:solidFill>
                  </a:rPr>
                  <a:t>Normalized Conc, unitless</a:t>
                </a:r>
              </a:p>
            </c:rich>
          </c:tx>
          <c:layout>
            <c:manualLayout>
              <c:xMode val="factor"/>
              <c:yMode val="factor"/>
              <c:x val="0"/>
              <c:y val="0.0065"/>
            </c:manualLayout>
          </c:layout>
          <c:overlay val="0"/>
          <c:spPr>
            <a:noFill/>
            <a:ln>
              <a:noFill/>
            </a:ln>
          </c:spPr>
        </c:title>
        <c:majorGridlines>
          <c:spPr>
            <a:ln w="3175">
              <a:solidFill>
                <a:srgbClr val="000000"/>
              </a:solidFill>
              <a:prstDash val="sysDot"/>
            </a:ln>
          </c:spPr>
        </c:majorGridlines>
        <c:delete val="0"/>
        <c:numFmt formatCode="0.E+0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66004887"/>
        <c:crosses val="autoZero"/>
        <c:crossBetween val="midCat"/>
        <c:dispUnits/>
      </c:valAx>
      <c:spPr>
        <a:solidFill>
          <a:srgbClr val="C0C0C0"/>
        </a:solidFill>
        <a:ln w="12700">
          <a:solidFill>
            <a:srgbClr val="000000"/>
          </a:solidFill>
        </a:ln>
      </c:spPr>
    </c:plotArea>
    <c:legend>
      <c:legendPos val="r"/>
      <c:layout>
        <c:manualLayout>
          <c:xMode val="edge"/>
          <c:yMode val="edge"/>
          <c:x val="0.14975"/>
          <c:y val="0.557"/>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200"/>
      <c:rAngAx val="0"/>
      <c:perspective val="30"/>
    </c:view3D>
    <c:plotArea>
      <c:layout>
        <c:manualLayout>
          <c:xMode val="edge"/>
          <c:yMode val="edge"/>
          <c:x val="0.0755"/>
          <c:y val="0.00125"/>
          <c:w val="0.76175"/>
          <c:h val="0.91875"/>
        </c:manualLayout>
      </c:layout>
      <c:surface3DChart>
        <c:ser>
          <c:idx val="0"/>
          <c:order val="0"/>
          <c:tx>
            <c:strRef>
              <c:f>'Plume Output'!$Q$8</c:f>
              <c:strCache>
                <c:ptCount val="1"/>
                <c:pt idx="0">
                  <c:v>45</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80C0"/>
              </a:solidFill>
              <a:ln w="12700">
                <a:solidFill>
                  <a:srgbClr val="000000"/>
                </a:solidFill>
              </a:ln>
              <a:sp3d prstMaterial="flat"/>
            </c:spPr>
          </c:dPt>
          <c:cat>
            <c:numRef>
              <c:f>'Plume Output'!$R$7:$AB$7</c:f>
              <c:numCache/>
            </c:numRef>
          </c:cat>
          <c:val>
            <c:numRef>
              <c:f>'Plume Output'!$R$8:$AB$8</c:f>
              <c:numCache/>
            </c:numRef>
          </c:val>
        </c:ser>
        <c:ser>
          <c:idx val="1"/>
          <c:order val="1"/>
          <c:tx>
            <c:strRef>
              <c:f>'Plume Output'!$Q$9</c:f>
              <c:strCache>
                <c:ptCount val="1"/>
                <c:pt idx="0">
                  <c:v>23</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Output'!$R$9:$AB$9</c:f>
              <c:numCache/>
            </c:numRef>
          </c:val>
        </c:ser>
        <c:ser>
          <c:idx val="2"/>
          <c:order val="2"/>
          <c:tx>
            <c:strRef>
              <c:f>'Plume Output'!$Q$10</c:f>
              <c:strCache>
                <c:ptCount val="1"/>
                <c:pt idx="0">
                  <c:v>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Output'!$R$10:$AB$10</c:f>
              <c:numCache/>
            </c:numRef>
          </c:val>
        </c:ser>
        <c:ser>
          <c:idx val="3"/>
          <c:order val="3"/>
          <c:tx>
            <c:strRef>
              <c:f>'Plume Output'!$Q$11</c:f>
              <c:strCache>
                <c:ptCount val="1"/>
                <c:pt idx="0">
                  <c:v>-23</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Output'!$R$11:$AB$11</c:f>
              <c:numCache/>
            </c:numRef>
          </c:val>
        </c:ser>
        <c:ser>
          <c:idx val="4"/>
          <c:order val="4"/>
          <c:tx>
            <c:strRef>
              <c:f>'Plume Output'!$Q$12</c:f>
              <c:strCache>
                <c:ptCount val="1"/>
                <c:pt idx="0">
                  <c:v>-45</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Output'!$R$12:$AB$12</c:f>
              <c:numCache/>
            </c:numRef>
          </c:val>
        </c:ser>
        <c:axId val="44795601"/>
        <c:axId val="507226"/>
        <c:axId val="4565035"/>
      </c:surface3DChart>
      <c:catAx>
        <c:axId val="44795601"/>
        <c:scaling>
          <c:orientation val="minMax"/>
        </c:scaling>
        <c:axPos val="b"/>
        <c:title>
          <c:tx>
            <c:rich>
              <a:bodyPr vert="horz" rot="0" anchor="ctr"/>
              <a:lstStyle/>
              <a:p>
                <a:pPr algn="ctr">
                  <a:defRPr/>
                </a:pPr>
                <a:r>
                  <a:rPr lang="en-US" cap="none" sz="1000" b="0" i="0" u="none" baseline="0">
                    <a:solidFill>
                      <a:srgbClr val="000000"/>
                    </a:solidFill>
                  </a:rPr>
                  <a:t>x-direction, ft</a:t>
                </a:r>
              </a:p>
            </c:rich>
          </c:tx>
          <c:layout>
            <c:manualLayout>
              <c:xMode val="factor"/>
              <c:yMode val="factor"/>
              <c:x val="0.08425"/>
              <c:y val="0.17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prstDash val="sysDot"/>
          </a:ln>
        </c:spPr>
        <c:crossAx val="507226"/>
        <c:crosses val="autoZero"/>
        <c:auto val="0"/>
        <c:lblOffset val="100"/>
        <c:tickLblSkip val="1"/>
        <c:noMultiLvlLbl val="0"/>
      </c:catAx>
      <c:valAx>
        <c:axId val="507226"/>
        <c:scaling>
          <c:orientation val="minMax"/>
        </c:scaling>
        <c:axPos val="l"/>
        <c:title>
          <c:tx>
            <c:rich>
              <a:bodyPr vert="horz" rot="-5400000" anchor="ctr"/>
              <a:lstStyle/>
              <a:p>
                <a:pPr algn="ctr">
                  <a:defRPr/>
                </a:pPr>
                <a:r>
                  <a:rPr lang="en-US" cap="none" sz="700" b="0" i="0" u="none" baseline="0">
                    <a:solidFill>
                      <a:srgbClr val="000000"/>
                    </a:solidFill>
                  </a:rPr>
                  <a:t>Contaminant Conc, ug/L</a:t>
                </a:r>
              </a:p>
            </c:rich>
          </c:tx>
          <c:layout>
            <c:manualLayout>
              <c:xMode val="factor"/>
              <c:yMode val="factor"/>
              <c:x val="-0.07075"/>
              <c:y val="0.053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prstDash val="sysDot"/>
          </a:ln>
        </c:spPr>
        <c:crossAx val="44795601"/>
        <c:crossesAt val="1"/>
        <c:crossBetween val="midCat"/>
        <c:dispUnits/>
      </c:valAx>
      <c:serAx>
        <c:axId val="4565035"/>
        <c:scaling>
          <c:orientation val="minMax"/>
        </c:scaling>
        <c:axPos val="b"/>
        <c:title>
          <c:tx>
            <c:rich>
              <a:bodyPr vert="horz" rot="-2700000" anchor="ctr"/>
              <a:lstStyle/>
              <a:p>
                <a:pPr algn="ctr">
                  <a:defRPr/>
                </a:pPr>
                <a:r>
                  <a:rPr lang="en-US" cap="none" sz="1000" b="0" i="0" u="none" baseline="0">
                    <a:solidFill>
                      <a:srgbClr val="000000"/>
                    </a:solidFill>
                  </a:rPr>
                  <a:t> y-direction,ft</a:t>
                </a:r>
              </a:p>
            </c:rich>
          </c:tx>
          <c:layout>
            <c:manualLayout>
              <c:xMode val="factor"/>
              <c:yMode val="factor"/>
              <c:x val="0.03775"/>
              <c:y val="0.14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07226"/>
        <c:crosses val="autoZero"/>
        <c:tickLblSkip val="2"/>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000000"/>
          </a:solidFill>
        </a:ln>
      </c:spPr>
      <c:thickness val="0"/>
    </c:sideWall>
    <c:backWall>
      <c:spPr>
        <a:solidFill>
          <a:srgbClr val="C0C0C0"/>
        </a:solidFill>
        <a:ln w="12700">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rPr>
              <a:t>3-D Domenico Model</a:t>
            </a:r>
          </a:p>
        </c:rich>
      </c:tx>
      <c:layout/>
      <c:spPr>
        <a:noFill/>
        <a:ln>
          <a:noFill/>
        </a:ln>
      </c:spPr>
    </c:title>
    <c:view3D>
      <c:rotX val="10"/>
      <c:rotY val="40"/>
      <c:depthPercent val="100"/>
      <c:rAngAx val="0"/>
      <c:perspective val="0"/>
    </c:view3D>
    <c:plotArea>
      <c:layout/>
      <c:surface3DChart>
        <c:ser>
          <c:idx val="0"/>
          <c:order val="0"/>
          <c:tx>
            <c:strRef>
              <c:f>SurfaceWat_loading!#REF!</c:f>
              <c:strCache>
                <c:ptCount val="1"/>
                <c:pt idx="0">
                  <c:v>#REF!</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cat>
            <c:strRef>
              <c:f>SurfaceWat_loading!#REF!</c:f>
              <c:strCache>
                <c:ptCount val="1"/>
                <c:pt idx="0">
                  <c:v>1</c:v>
                </c:pt>
              </c:strCache>
            </c:strRef>
          </c:cat>
          <c:val>
            <c:numRef>
              <c:f>SurfaceWat_loading!#REF!</c:f>
              <c:numCache>
                <c:ptCount val="1"/>
                <c:pt idx="0">
                  <c:v>1</c:v>
                </c:pt>
              </c:numCache>
            </c:numRef>
          </c:val>
        </c:ser>
        <c:ser>
          <c:idx val="1"/>
          <c:order val="1"/>
          <c:tx>
            <c:strRef>
              <c:f>SurfaceWat_loading!#REF!</c:f>
              <c:strCache>
                <c:ptCount val="1"/>
                <c:pt idx="0">
                  <c:v>#REF!</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2"/>
          <c:order val="2"/>
          <c:tx>
            <c:strRef>
              <c:f>SurfaceWat_loading!#REF!</c:f>
              <c:strCache>
                <c:ptCount val="1"/>
                <c:pt idx="0">
                  <c:v>#REF!</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3"/>
          <c:order val="3"/>
          <c:tx>
            <c:strRef>
              <c:f>SurfaceWat_loading!#REF!</c:f>
              <c:strCache>
                <c:ptCount val="1"/>
                <c:pt idx="0">
                  <c:v>#REF!</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4"/>
          <c:order val="4"/>
          <c:tx>
            <c:strRef>
              <c:f>SurfaceWat_loading!#REF!</c:f>
              <c:strCache>
                <c:ptCount val="1"/>
                <c:pt idx="0">
                  <c:v>#REF!</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5"/>
          <c:order val="5"/>
          <c:tx>
            <c:strRef>
              <c:f>SurfaceWat_loading!#REF!</c:f>
              <c:strCache>
                <c:ptCount val="1"/>
                <c:pt idx="0">
                  <c:v>#REF!</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6"/>
          <c:order val="6"/>
          <c:tx>
            <c:strRef>
              <c:f>SurfaceWat_loading!#REF!</c:f>
              <c:strCache>
                <c:ptCount val="1"/>
                <c:pt idx="0">
                  <c:v>#REF!</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7"/>
          <c:order val="7"/>
          <c:tx>
            <c:strRef>
              <c:f>SurfaceWat_loading!#REF!</c:f>
              <c:strCache>
                <c:ptCount val="1"/>
                <c:pt idx="0">
                  <c:v>#REF!</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8"/>
          <c:order val="8"/>
          <c:tx>
            <c:strRef>
              <c:f>SurfaceWat_loading!#REF!</c:f>
              <c:strCache>
                <c:ptCount val="1"/>
                <c:pt idx="0">
                  <c:v>#REF!</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axId val="41085316"/>
        <c:axId val="34223525"/>
        <c:axId val="39576270"/>
      </c:surface3DChart>
      <c:catAx>
        <c:axId val="41085316"/>
        <c:scaling>
          <c:orientation val="minMax"/>
        </c:scaling>
        <c:axPos val="b"/>
        <c:title>
          <c:tx>
            <c:rich>
              <a:bodyPr vert="horz" rot="0" anchor="ctr"/>
              <a:lstStyle/>
              <a:p>
                <a:pPr algn="ctr">
                  <a:defRPr/>
                </a:pPr>
                <a:r>
                  <a:rPr lang="en-US" cap="none" sz="225" b="1" i="0" u="none" baseline="0">
                    <a:solidFill>
                      <a:srgbClr val="000000"/>
                    </a:solidFill>
                  </a:rPr>
                  <a:t>x-direction, ft</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34223525"/>
        <c:crosses val="autoZero"/>
        <c:auto val="1"/>
        <c:lblOffset val="100"/>
        <c:tickLblSkip val="1"/>
        <c:noMultiLvlLbl val="0"/>
      </c:catAx>
      <c:valAx>
        <c:axId val="34223525"/>
        <c:scaling>
          <c:logBase val="10"/>
          <c:orientation val="minMax"/>
        </c:scaling>
        <c:axPos val="l"/>
        <c:title>
          <c:tx>
            <c:rich>
              <a:bodyPr vert="horz" rot="-5400000" anchor="ctr"/>
              <a:lstStyle/>
              <a:p>
                <a:pPr algn="ctr">
                  <a:defRPr/>
                </a:pPr>
                <a:r>
                  <a:rPr lang="en-US" cap="none" sz="225" b="1" i="0" u="none" baseline="0">
                    <a:solidFill>
                      <a:srgbClr val="000000"/>
                    </a:solidFill>
                  </a:rPr>
                  <a:t>Concentration,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1085316"/>
        <c:crossesAt val="1"/>
        <c:crossBetween val="between"/>
        <c:dispUnits/>
      </c:valAx>
      <c:serAx>
        <c:axId val="39576270"/>
        <c:scaling>
          <c:orientation val="minMax"/>
        </c:scaling>
        <c:axPos val="b"/>
        <c:title>
          <c:tx>
            <c:rich>
              <a:bodyPr vert="horz" rot="0" anchor="ctr"/>
              <a:lstStyle/>
              <a:p>
                <a:pPr algn="ctr">
                  <a:defRPr/>
                </a:pPr>
                <a:r>
                  <a:rPr lang="en-US" cap="none" sz="225" b="1" i="0" u="none" baseline="0">
                    <a:solidFill>
                      <a:srgbClr val="000000"/>
                    </a:solidFill>
                  </a:rPr>
                  <a:t>y-direction, ft</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75" b="0" i="0" u="none" baseline="0">
                <a:solidFill>
                  <a:srgbClr val="000000"/>
                </a:solidFill>
              </a:defRPr>
            </a:pPr>
          </a:p>
        </c:txPr>
        <c:crossAx val="34223525"/>
        <c:crosses val="autoZero"/>
        <c:tickLblSkip val="351"/>
        <c:tickMarkSkip val="1"/>
      </c:serAx>
      <c:spPr>
        <a:solidFill>
          <a:srgbClr val="C0C0FF"/>
        </a:solidFill>
        <a:ln w="3175">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rPr>
              <a:t>Temporal Prediction at a given point as a function of t
</a:t>
            </a:r>
          </a:p>
        </c:rich>
      </c:tx>
      <c:layout/>
      <c:spPr>
        <a:noFill/>
        <a:ln>
          <a:noFill/>
        </a:ln>
      </c:spPr>
    </c:title>
    <c:plotArea>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SurfaceWat_loading!#REF!</c:f>
              <c:strCache>
                <c:ptCount val="1"/>
                <c:pt idx="0">
                  <c:v>1</c:v>
                </c:pt>
              </c:strCache>
            </c:strRef>
          </c:xVal>
          <c:yVal>
            <c:numRef>
              <c:f>SurfaceWat_loading!#REF!</c:f>
              <c:numCache>
                <c:ptCount val="1"/>
                <c:pt idx="0">
                  <c:v>1</c:v>
                </c:pt>
              </c:numCache>
            </c:numRef>
          </c:yVal>
          <c:smooth val="1"/>
        </c:ser>
        <c:axId val="20642111"/>
        <c:axId val="51561272"/>
      </c:scatterChart>
      <c:valAx>
        <c:axId val="20642111"/>
        <c:scaling>
          <c:orientation val="minMax"/>
        </c:scaling>
        <c:axPos val="b"/>
        <c:title>
          <c:tx>
            <c:rich>
              <a:bodyPr vert="horz" rot="0" anchor="ctr"/>
              <a:lstStyle/>
              <a:p>
                <a:pPr algn="ctr">
                  <a:defRPr/>
                </a:pPr>
                <a:r>
                  <a:rPr lang="en-US" cap="none" sz="225" b="1" i="0" u="none" baseline="0">
                    <a:solidFill>
                      <a:srgbClr val="000000"/>
                    </a:solidFill>
                  </a:rPr>
                  <a:t>Release Time, year</a:t>
                </a:r>
              </a:p>
            </c:rich>
          </c:tx>
          <c:layout/>
          <c:overlay val="0"/>
          <c:spPr>
            <a:noFill/>
            <a:ln>
              <a:noFill/>
            </a:ln>
          </c:spPr>
        </c:title>
        <c:majorGridlines>
          <c:spPr>
            <a:ln w="3175">
              <a:solidFill>
                <a:srgbClr val="000000"/>
              </a:solidFill>
              <a:prstDash val="sysDot"/>
            </a:ln>
          </c:spPr>
        </c:majorGridlines>
        <c:delete val="0"/>
        <c:numFmt formatCode="0.0" sourceLinked="0"/>
        <c:majorTickMark val="cross"/>
        <c:minorTickMark val="none"/>
        <c:tickLblPos val="nextTo"/>
        <c:spPr>
          <a:ln w="3175">
            <a:solidFill>
              <a:srgbClr val="000000"/>
            </a:solidFill>
            <a:prstDash val="sysDot"/>
          </a:ln>
        </c:spPr>
        <c:txPr>
          <a:bodyPr vert="horz" rot="0"/>
          <a:lstStyle/>
          <a:p>
            <a:pPr>
              <a:defRPr lang="en-US" cap="none" sz="225" b="1" i="0" u="none" baseline="0">
                <a:solidFill>
                  <a:srgbClr val="000000"/>
                </a:solidFill>
              </a:defRPr>
            </a:pPr>
          </a:p>
        </c:txPr>
        <c:crossAx val="51561272"/>
        <c:crossesAt val="0"/>
        <c:crossBetween val="midCat"/>
        <c:dispUnits/>
      </c:valAx>
      <c:valAx>
        <c:axId val="51561272"/>
        <c:scaling>
          <c:orientation val="minMax"/>
          <c:min val="0"/>
        </c:scaling>
        <c:axPos val="l"/>
        <c:title>
          <c:tx>
            <c:rich>
              <a:bodyPr vert="horz" rot="-5400000" anchor="ctr"/>
              <a:lstStyle/>
              <a:p>
                <a:pPr algn="ctr">
                  <a:defRPr/>
                </a:pPr>
                <a:r>
                  <a:rPr lang="en-US" cap="none" sz="225" b="1" i="0" u="none" baseline="0">
                    <a:solidFill>
                      <a:srgbClr val="000000"/>
                    </a:solidFill>
                  </a:rPr>
                  <a:t>Contaminant conc,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064211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
            </a:r>
          </a:p>
        </c:rich>
      </c:tx>
      <c:layout>
        <c:manualLayout>
          <c:xMode val="factor"/>
          <c:yMode val="factor"/>
          <c:x val="-0.0065"/>
          <c:y val="-0.0195"/>
        </c:manualLayout>
      </c:layout>
      <c:spPr>
        <a:noFill/>
        <a:ln>
          <a:noFill/>
        </a:ln>
      </c:spPr>
    </c:title>
    <c:view3D>
      <c:rotX val="15"/>
      <c:rotY val="20"/>
      <c:depthPercent val="100"/>
      <c:rAngAx val="0"/>
      <c:perspective val="30"/>
    </c:view3D>
    <c:plotArea>
      <c:layout>
        <c:manualLayout>
          <c:xMode val="edge"/>
          <c:yMode val="edge"/>
          <c:x val="0.0855"/>
          <c:y val="0.0015"/>
          <c:w val="0.7335"/>
          <c:h val="0.8865"/>
        </c:manualLayout>
      </c:layout>
      <c:surface3DChart>
        <c:ser>
          <c:idx val="0"/>
          <c:order val="0"/>
          <c:tx>
            <c:strRef>
              <c:f>SurfaceWat_loading!$C$67</c:f>
              <c:strCache>
                <c:ptCount val="1"/>
                <c:pt idx="0">
                  <c:v>0.0000E+00</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cat>
            <c:numRef>
              <c:f>SurfaceWat_loading!$D$66:$X$66</c:f>
              <c:numCache/>
            </c:numRef>
          </c:cat>
          <c:val>
            <c:numRef>
              <c:f>SurfaceWat_loading!$D$67:$X$67</c:f>
              <c:numCache/>
            </c:numRef>
          </c:val>
        </c:ser>
        <c:ser>
          <c:idx val="1"/>
          <c:order val="1"/>
          <c:tx>
            <c:strRef>
              <c:f>SurfaceWat_loading!$C$68</c:f>
              <c:strCache>
                <c:ptCount val="1"/>
                <c:pt idx="0">
                  <c:v>-3.5000E+00</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SurfaceWat_loading!$D$68:$X$68</c:f>
              <c:numCache/>
            </c:numRef>
          </c:val>
        </c:ser>
        <c:ser>
          <c:idx val="2"/>
          <c:order val="2"/>
          <c:tx>
            <c:strRef>
              <c:f>SurfaceWat_loading!$C$69</c:f>
              <c:strCache>
                <c:ptCount val="1"/>
                <c:pt idx="0">
                  <c:v>-7.0000E+00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SurfaceWat_loading!$D$69:$X$69</c:f>
              <c:numCache/>
            </c:numRef>
          </c:val>
        </c:ser>
        <c:ser>
          <c:idx val="3"/>
          <c:order val="3"/>
          <c:tx>
            <c:strRef>
              <c:f>SurfaceWat_loading!$C$70</c:f>
              <c:strCache>
                <c:ptCount val="1"/>
                <c:pt idx="0">
                  <c:v>-1.0500E+01</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SurfaceWat_loading!$D$70:$X$70</c:f>
              <c:numCache/>
            </c:numRef>
          </c:val>
        </c:ser>
        <c:ser>
          <c:idx val="4"/>
          <c:order val="4"/>
          <c:tx>
            <c:strRef>
              <c:f>SurfaceWat_loading!$C$71</c:f>
              <c:strCache>
                <c:ptCount val="1"/>
                <c:pt idx="0">
                  <c:v>-1.4000E+01</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SurfaceWat_loading!$D$71:$X$71</c:f>
              <c:numCache/>
            </c:numRef>
          </c:val>
        </c:ser>
        <c:ser>
          <c:idx val="5"/>
          <c:order val="5"/>
          <c:tx>
            <c:strRef>
              <c:f>SurfaceWat_loading!$C$72</c:f>
              <c:strCache>
                <c:ptCount val="1"/>
                <c:pt idx="0">
                  <c:v>-1.7500E+01</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SurfaceWat_loading!$D$72:$X$72</c:f>
              <c:numCache/>
            </c:numRef>
          </c:val>
        </c:ser>
        <c:ser>
          <c:idx val="6"/>
          <c:order val="6"/>
          <c:tx>
            <c:strRef>
              <c:f>SurfaceWat_loading!$C$73</c:f>
              <c:strCache>
                <c:ptCount val="1"/>
                <c:pt idx="0">
                  <c:v>-2.1000E+01</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SurfaceWat_loading!$D$73:$X$73</c:f>
              <c:numCache/>
            </c:numRef>
          </c:val>
        </c:ser>
        <c:ser>
          <c:idx val="7"/>
          <c:order val="7"/>
          <c:tx>
            <c:strRef>
              <c:f>SurfaceWat_loading!$C$74</c:f>
              <c:strCache>
                <c:ptCount val="1"/>
                <c:pt idx="0">
                  <c:v>-2.4500E+01</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SurfaceWat_loading!$D$74:$X$74</c:f>
              <c:numCache/>
            </c:numRef>
          </c:val>
        </c:ser>
        <c:ser>
          <c:idx val="8"/>
          <c:order val="8"/>
          <c:tx>
            <c:strRef>
              <c:f>SurfaceWat_loading!$C$75</c:f>
              <c:strCache>
                <c:ptCount val="1"/>
                <c:pt idx="0">
                  <c:v>-2.8000E+01</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SurfaceWat_loading!$D$75:$X$75</c:f>
              <c:numCache/>
            </c:numRef>
          </c:val>
        </c:ser>
        <c:ser>
          <c:idx val="9"/>
          <c:order val="9"/>
          <c:tx>
            <c:strRef>
              <c:f>SurfaceWat_loading!$C$76</c:f>
              <c:strCache>
                <c:ptCount val="1"/>
                <c:pt idx="0">
                  <c:v>-3.1500E+01</c:v>
                </c:pt>
              </c:strCache>
            </c:strRef>
          </c:tx>
          <c:spPr>
            <a:solidFill>
              <a:srgbClr val="FF0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SurfaceWat_loading!$D$76:$X$76</c:f>
              <c:numCache/>
            </c:numRef>
          </c:val>
        </c:ser>
        <c:ser>
          <c:idx val="10"/>
          <c:order val="10"/>
          <c:tx>
            <c:strRef>
              <c:f>SurfaceWat_loading!$C$77</c:f>
              <c:strCache>
                <c:ptCount val="1"/>
                <c:pt idx="0">
                  <c:v>-3.5000E+01</c:v>
                </c:pt>
              </c:strCache>
            </c:strRef>
          </c:tx>
          <c:spPr>
            <a:solidFill>
              <a:srgbClr val="FFFF0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SurfaceWat_loading!$D$77:$X$77</c:f>
              <c:numCache/>
            </c:numRef>
          </c:val>
        </c:ser>
        <c:axId val="61398265"/>
        <c:axId val="15713474"/>
        <c:axId val="7203539"/>
      </c:surface3DChart>
      <c:catAx>
        <c:axId val="61398265"/>
        <c:scaling>
          <c:orientation val="minMax"/>
        </c:scaling>
        <c:axPos val="b"/>
        <c:title>
          <c:tx>
            <c:rich>
              <a:bodyPr vert="horz" rot="0" anchor="ctr"/>
              <a:lstStyle/>
              <a:p>
                <a:pPr algn="ctr">
                  <a:defRPr/>
                </a:pPr>
                <a:r>
                  <a:rPr lang="en-US" cap="none" sz="800" b="1" i="0" u="none" baseline="0">
                    <a:solidFill>
                      <a:srgbClr val="000000"/>
                    </a:solidFill>
                  </a:rPr>
                  <a:t>y-direction, ft</a:t>
                </a:r>
              </a:p>
            </c:rich>
          </c:tx>
          <c:layout>
            <c:manualLayout>
              <c:xMode val="factor"/>
              <c:yMode val="factor"/>
              <c:x val="-0.01975"/>
              <c:y val="0.148"/>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5713474"/>
        <c:crosses val="autoZero"/>
        <c:auto val="1"/>
        <c:lblOffset val="100"/>
        <c:tickLblSkip val="2"/>
        <c:noMultiLvlLbl val="0"/>
      </c:catAx>
      <c:valAx>
        <c:axId val="15713474"/>
        <c:scaling>
          <c:orientation val="minMax"/>
        </c:scaling>
        <c:axPos val="l"/>
        <c:title>
          <c:tx>
            <c:rich>
              <a:bodyPr vert="horz" rot="-5400000" anchor="ctr"/>
              <a:lstStyle/>
              <a:p>
                <a:pPr algn="ctr">
                  <a:defRPr/>
                </a:pPr>
                <a:r>
                  <a:rPr lang="en-US" cap="none" sz="700" b="1" i="0" u="none" baseline="0">
                    <a:solidFill>
                      <a:srgbClr val="000000"/>
                    </a:solidFill>
                  </a:rPr>
                  <a:t>Predicted Conc, ug/L</a:t>
                </a:r>
              </a:p>
            </c:rich>
          </c:tx>
          <c:layout>
            <c:manualLayout>
              <c:xMode val="factor"/>
              <c:yMode val="factor"/>
              <c:x val="-0.0445"/>
              <c:y val="0.08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398265"/>
        <c:crossesAt val="1"/>
        <c:crossBetween val="midCat"/>
        <c:dispUnits/>
      </c:valAx>
      <c:serAx>
        <c:axId val="7203539"/>
        <c:scaling>
          <c:orientation val="maxMin"/>
        </c:scaling>
        <c:axPos val="b"/>
        <c:title>
          <c:tx>
            <c:rich>
              <a:bodyPr vert="horz" rot="-4500000" anchor="ctr"/>
              <a:lstStyle/>
              <a:p>
                <a:pPr algn="ctr">
                  <a:defRPr/>
                </a:pPr>
                <a:r>
                  <a:rPr lang="en-US" cap="none" sz="800" b="1" i="0" u="none" baseline="0">
                    <a:solidFill>
                      <a:srgbClr val="000000"/>
                    </a:solidFill>
                  </a:rPr>
                  <a:t>z-direction, ft</a:t>
                </a:r>
              </a:p>
            </c:rich>
          </c:tx>
          <c:layout>
            <c:manualLayout>
              <c:xMode val="factor"/>
              <c:yMode val="factor"/>
              <c:x val="0.0675"/>
              <c:y val="0.16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5713474"/>
        <c:crosses val="autoZero"/>
        <c:tickLblSkip val="5"/>
        <c:tickMarkSkip val="1"/>
      </c:serAx>
      <c:spPr>
        <a:solidFill>
          <a:srgbClr val="CC99FF"/>
        </a:solidFill>
        <a:ln w="3175">
          <a:no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Prediction as a function of Time at Receptor Locations</a:t>
            </a:r>
          </a:p>
        </c:rich>
      </c:tx>
      <c:layout>
        <c:manualLayout>
          <c:xMode val="factor"/>
          <c:yMode val="factor"/>
          <c:x val="-0.00175"/>
          <c:y val="0"/>
        </c:manualLayout>
      </c:layout>
      <c:spPr>
        <a:noFill/>
        <a:ln>
          <a:noFill/>
        </a:ln>
      </c:spPr>
    </c:title>
    <c:plotArea>
      <c:layout>
        <c:manualLayout>
          <c:xMode val="edge"/>
          <c:yMode val="edge"/>
          <c:x val="0.05775"/>
          <c:y val="0.117"/>
          <c:w val="0.88925"/>
          <c:h val="0.84025"/>
        </c:manualLayout>
      </c:layout>
      <c:scatterChart>
        <c:scatterStyle val="smoothMarker"/>
        <c:varyColors val="0"/>
        <c:ser>
          <c:idx val="0"/>
          <c:order val="0"/>
          <c:tx>
            <c:v>Receptor#1: No Degradation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xVal>
            <c:numRef>
              <c:f>Prediction!$AH$40:$CF$40</c:f>
              <c:numCache/>
            </c:numRef>
          </c:xVal>
          <c:yVal>
            <c:numRef>
              <c:f>Prediction!$AH$57:$CF$57</c:f>
              <c:numCache/>
            </c:numRef>
          </c:yVal>
          <c:smooth val="1"/>
        </c:ser>
        <c:ser>
          <c:idx val="1"/>
          <c:order val="1"/>
          <c:tx>
            <c:v>Receptor#1: 1st Order Decay</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xVal>
            <c:numRef>
              <c:f>Prediction!$AH$40:$CF$40</c:f>
              <c:numCache/>
            </c:numRef>
          </c:xVal>
          <c:yVal>
            <c:numRef>
              <c:f>Prediction!$AH$66:$CF$66</c:f>
              <c:numCache/>
            </c:numRef>
          </c:yVal>
          <c:smooth val="1"/>
        </c:ser>
        <c:ser>
          <c:idx val="2"/>
          <c:order val="2"/>
          <c:tx>
            <c:v>Inst. Reaction</c:v>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xVal>
            <c:numRef>
              <c:f>Prediction!$AH$40:$CF$40</c:f>
              <c:numCache/>
            </c:numRef>
          </c:xVal>
          <c:yVal>
            <c:numRef>
              <c:f>Prediction!$AH$73:$CF$73</c:f>
            </c:numRef>
          </c:yVal>
          <c:smooth val="1"/>
        </c:ser>
        <c:ser>
          <c:idx val="3"/>
          <c:order val="3"/>
          <c:tx>
            <c:v>Receptor#2: No Degradation</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Prediction!$AH$40:$CF$40</c:f>
              <c:numCache/>
            </c:numRef>
          </c:xVal>
          <c:yVal>
            <c:numRef>
              <c:f>Prediction!$CI$57:$EG$57</c:f>
              <c:numCache/>
            </c:numRef>
          </c:yVal>
          <c:smooth val="1"/>
        </c:ser>
        <c:ser>
          <c:idx val="4"/>
          <c:order val="4"/>
          <c:tx>
            <c:v>Receptor#2: 1st Order Decay</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Prediction!$AH$40:$CF$40</c:f>
              <c:numCache/>
            </c:numRef>
          </c:xVal>
          <c:yVal>
            <c:numRef>
              <c:f>Prediction!$CI$66:$EG$66</c:f>
              <c:numCache/>
            </c:numRef>
          </c:yVal>
          <c:smooth val="1"/>
        </c:ser>
        <c:axId val="64831852"/>
        <c:axId val="46615757"/>
      </c:scatterChart>
      <c:valAx>
        <c:axId val="64831852"/>
        <c:scaling>
          <c:orientation val="minMax"/>
        </c:scaling>
        <c:axPos val="b"/>
        <c:title>
          <c:tx>
            <c:rich>
              <a:bodyPr vert="horz" rot="0" anchor="ctr"/>
              <a:lstStyle/>
              <a:p>
                <a:pPr algn="ctr">
                  <a:defRPr/>
                </a:pPr>
                <a:r>
                  <a:rPr lang="en-US" cap="none" sz="1350" b="0" i="0" u="none" baseline="0">
                    <a:solidFill>
                      <a:srgbClr val="000000"/>
                    </a:solidFill>
                  </a:rPr>
                  <a:t>Simulation Time, yr</a:t>
                </a:r>
              </a:p>
            </c:rich>
          </c:tx>
          <c:layout>
            <c:manualLayout>
              <c:xMode val="factor"/>
              <c:yMode val="factor"/>
              <c:x val="0.0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46615757"/>
        <c:crosses val="autoZero"/>
        <c:crossBetween val="midCat"/>
        <c:dispUnits/>
      </c:valAx>
      <c:valAx>
        <c:axId val="46615757"/>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4"/>
              <c:y val="0.019"/>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64831852"/>
        <c:crosses val="autoZero"/>
        <c:crossBetween val="midCat"/>
        <c:dispUnits/>
      </c:valAx>
      <c:spPr>
        <a:solidFill>
          <a:srgbClr val="C0C0C0"/>
        </a:solidFill>
        <a:ln w="12700">
          <a:solidFill>
            <a:srgbClr val="808080"/>
          </a:solidFill>
        </a:ln>
      </c:spPr>
    </c:plotArea>
    <c:legend>
      <c:legendPos val="r"/>
      <c:layout>
        <c:manualLayout>
          <c:xMode val="edge"/>
          <c:yMode val="edge"/>
          <c:x val="0.64675"/>
          <c:y val="0.2345"/>
          <c:w val="0.257"/>
          <c:h val="0.16425"/>
        </c:manualLayout>
      </c:layout>
      <c:overlay val="0"/>
      <c:spPr>
        <a:noFill/>
        <a:ln w="3175">
          <a:no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and Spatial Prediction along Plume Centerline</a:t>
            </a:r>
          </a:p>
        </c:rich>
      </c:tx>
      <c:layout>
        <c:manualLayout>
          <c:xMode val="factor"/>
          <c:yMode val="factor"/>
          <c:x val="0.0315"/>
          <c:y val="0.0175"/>
        </c:manualLayout>
      </c:layout>
      <c:spPr>
        <a:noFill/>
        <a:ln>
          <a:noFill/>
        </a:ln>
      </c:spPr>
    </c:title>
    <c:plotArea>
      <c:layout>
        <c:manualLayout>
          <c:xMode val="edge"/>
          <c:yMode val="edge"/>
          <c:x val="0.07025"/>
          <c:y val="0.10775"/>
          <c:w val="0.88725"/>
          <c:h val="0.8015"/>
        </c:manualLayout>
      </c:layout>
      <c:scatterChart>
        <c:scatterStyle val="smoothMarker"/>
        <c:varyColors val="0"/>
        <c:ser>
          <c:idx val="1"/>
          <c:order val="0"/>
          <c:tx>
            <c:strRef>
              <c:f>Prediction!$AM$79</c:f>
              <c:strCache>
                <c:ptCount val="1"/>
                <c:pt idx="0">
                  <c:v> 2.4 year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Prediction!$AK$84:$BE$84</c:f>
              <c:numCache/>
            </c:numRef>
          </c:xVal>
          <c:yVal>
            <c:numRef>
              <c:f>Prediction!$AK$109:$BE$109</c:f>
              <c:numCache/>
            </c:numRef>
          </c:yVal>
          <c:smooth val="1"/>
        </c:ser>
        <c:ser>
          <c:idx val="0"/>
          <c:order val="1"/>
          <c:tx>
            <c:strRef>
              <c:f>Prediction!$BI$79</c:f>
              <c:strCache>
                <c:ptCount val="1"/>
                <c:pt idx="0">
                  <c:v> 4.8 year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Prediction!$AK$84:$BE$84</c:f>
              <c:numCache/>
            </c:numRef>
          </c:xVal>
          <c:yVal>
            <c:numRef>
              <c:f>Prediction!$BG$109:$CA$109</c:f>
              <c:numCache/>
            </c:numRef>
          </c:yVal>
          <c:smooth val="1"/>
        </c:ser>
        <c:ser>
          <c:idx val="2"/>
          <c:order val="2"/>
          <c:tx>
            <c:strRef>
              <c:f>Prediction!$CE$79</c:f>
              <c:strCache>
                <c:ptCount val="1"/>
                <c:pt idx="0">
                  <c:v> 7.2 year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Prediction!$AK$84:$BE$84</c:f>
              <c:numCache/>
            </c:numRef>
          </c:xVal>
          <c:yVal>
            <c:numRef>
              <c:f>Prediction!$CC$109:$CW$109</c:f>
              <c:numCache/>
            </c:numRef>
          </c:yVal>
          <c:smooth val="1"/>
        </c:ser>
        <c:ser>
          <c:idx val="3"/>
          <c:order val="3"/>
          <c:tx>
            <c:strRef>
              <c:f>Prediction!$DA$79</c:f>
              <c:strCache>
                <c:ptCount val="1"/>
                <c:pt idx="0">
                  <c:v> 9.6 year</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Prediction!$AK$84:$BE$84</c:f>
              <c:numCache/>
            </c:numRef>
          </c:xVal>
          <c:yVal>
            <c:numRef>
              <c:f>Prediction!$CY$109:$DS$109</c:f>
              <c:numCache/>
            </c:numRef>
          </c:yVal>
          <c:smooth val="1"/>
        </c:ser>
        <c:ser>
          <c:idx val="4"/>
          <c:order val="4"/>
          <c:tx>
            <c:strRef>
              <c:f>Prediction!$DW$79</c:f>
              <c:strCache>
                <c:ptCount val="1"/>
                <c:pt idx="0">
                  <c:v> 12 year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Prediction!$AK$84:$BE$84</c:f>
              <c:numCache/>
            </c:numRef>
          </c:xVal>
          <c:yVal>
            <c:numRef>
              <c:f>Prediction!$DU$109:$EO$109</c:f>
              <c:numCache/>
            </c:numRef>
          </c:yVal>
          <c:smooth val="1"/>
        </c:ser>
        <c:axId val="16888630"/>
        <c:axId val="17779943"/>
      </c:scatterChart>
      <c:valAx>
        <c:axId val="16888630"/>
        <c:scaling>
          <c:orientation val="minMax"/>
        </c:scaling>
        <c:axPos val="b"/>
        <c:title>
          <c:tx>
            <c:rich>
              <a:bodyPr vert="horz" rot="0" anchor="ctr"/>
              <a:lstStyle/>
              <a:p>
                <a:pPr algn="ctr">
                  <a:defRPr/>
                </a:pPr>
                <a:r>
                  <a:rPr lang="en-US" cap="none" sz="1575" b="0" i="0" u="none" baseline="0">
                    <a:solidFill>
                      <a:srgbClr val="000000"/>
                    </a:solidFill>
                  </a:rPr>
                  <a:t>Distance along plume centerline x-direction (@y=0, z=0), ft</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17779943"/>
        <c:crossesAt val="0"/>
        <c:crossBetween val="midCat"/>
        <c:dispUnits/>
      </c:valAx>
      <c:valAx>
        <c:axId val="17779943"/>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775"/>
              <c:y val="-0.009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00" b="0" i="0" u="none" baseline="0">
                <a:solidFill>
                  <a:srgbClr val="000000"/>
                </a:solidFill>
              </a:defRPr>
            </a:pPr>
          </a:p>
        </c:txPr>
        <c:crossAx val="16888630"/>
        <c:crosses val="autoZero"/>
        <c:crossBetween val="midCat"/>
        <c:dispUnits/>
      </c:valAx>
      <c:spPr>
        <a:solidFill>
          <a:srgbClr val="C0C0C0"/>
        </a:solidFill>
        <a:ln w="12700">
          <a:solidFill>
            <a:srgbClr val="808080"/>
          </a:solidFill>
        </a:ln>
      </c:spPr>
    </c:plotArea>
    <c:legend>
      <c:legendPos val="r"/>
      <c:layout>
        <c:manualLayout>
          <c:xMode val="edge"/>
          <c:yMode val="edge"/>
          <c:x val="0.75475"/>
          <c:y val="0.16275"/>
          <c:w val="0.17225"/>
          <c:h val="0.209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6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Log-linear Regression of 
Measured Concentration vs. Distance</a:t>
            </a:r>
          </a:p>
        </c:rich>
      </c:tx>
      <c:layout>
        <c:manualLayout>
          <c:xMode val="factor"/>
          <c:yMode val="factor"/>
          <c:x val="0.02625"/>
          <c:y val="-0.01975"/>
        </c:manualLayout>
      </c:layout>
      <c:spPr>
        <a:noFill/>
        <a:ln>
          <a:noFill/>
        </a:ln>
      </c:spPr>
    </c:title>
    <c:plotArea>
      <c:layout>
        <c:manualLayout>
          <c:xMode val="edge"/>
          <c:yMode val="edge"/>
          <c:x val="0.0505"/>
          <c:y val="0.1085"/>
          <c:w val="0.929"/>
          <c:h val="0.783"/>
        </c:manualLayout>
      </c:layout>
      <c:scatterChart>
        <c:scatterStyle val="lineMarker"/>
        <c:varyColors val="0"/>
        <c:ser>
          <c:idx val="0"/>
          <c:order val="0"/>
          <c:tx>
            <c:strRef>
              <c:f>steady_state!$D$91</c:f>
              <c:strCache>
                <c:ptCount val="1"/>
                <c:pt idx="0">
                  <c:v>Trend of Contaminant @CL=0.5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name>Expon. (Average slope @50% C.L.)</c:name>
            <c:spPr>
              <a:ln w="25400">
                <a:solidFill>
                  <a:srgbClr val="000000"/>
                </a:solidFill>
              </a:ln>
            </c:spPr>
            <c:trendlineType val="exp"/>
            <c:forward val="50"/>
            <c:dispEq val="1"/>
            <c:dispRSqr val="1"/>
            <c:trendlineLbl>
              <c:layout>
                <c:manualLayout>
                  <c:x val="0"/>
                  <c:y val="0"/>
                </c:manualLayout>
              </c:layout>
              <c:txPr>
                <a:bodyPr vert="horz" rot="0" anchor="ctr"/>
                <a:lstStyle/>
                <a:p>
                  <a:pPr algn="ctr">
                    <a:defRPr lang="en-US" cap="none" sz="1075" b="0" i="0" u="none" baseline="0">
                      <a:solidFill>
                        <a:srgbClr val="000000"/>
                      </a:solidFill>
                    </a:defRPr>
                  </a:pPr>
                </a:p>
              </c:txPr>
              <c:numFmt formatCode="General"/>
            </c:trendlineLbl>
          </c:trendline>
          <c:xVal>
            <c:numRef>
              <c:f>steady_state!$E$94:$O$94</c:f>
              <c:numCache/>
            </c:numRef>
          </c:xVal>
          <c:yVal>
            <c:numRef>
              <c:f>steady_state!$E$91:$O$91</c:f>
              <c:numCache/>
            </c:numRef>
          </c:yVal>
          <c:smooth val="0"/>
        </c:ser>
        <c:ser>
          <c:idx val="1"/>
          <c:order val="1"/>
          <c:tx>
            <c:strRef>
              <c:f>steady_state!$D$95</c:f>
              <c:strCache>
                <c:ptCount val="1"/>
                <c:pt idx="0">
                  <c:v>Lower Boundary Slope (@90% C.L.)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50"/>
            <c:dispEq val="0"/>
            <c:dispRSqr val="0"/>
          </c:trendline>
          <c:xVal>
            <c:numRef>
              <c:f>steady_state!$E$94:$O$94</c:f>
              <c:numCache/>
            </c:numRef>
          </c:xVal>
          <c:yVal>
            <c:numRef>
              <c:f>steady_state!$E$95:$O$95</c:f>
              <c:numCache/>
            </c:numRef>
          </c:yVal>
          <c:smooth val="0"/>
        </c:ser>
        <c:axId val="25801760"/>
        <c:axId val="30889249"/>
      </c:scatterChart>
      <c:valAx>
        <c:axId val="25801760"/>
        <c:scaling>
          <c:orientation val="minMax"/>
        </c:scaling>
        <c:axPos val="b"/>
        <c:title>
          <c:tx>
            <c:rich>
              <a:bodyPr vert="horz" rot="0" anchor="ctr"/>
              <a:lstStyle/>
              <a:p>
                <a:pPr algn="ctr">
                  <a:defRPr/>
                </a:pPr>
                <a:r>
                  <a:rPr lang="en-US" cap="none" sz="825" b="1" i="0" u="none" baseline="0">
                    <a:solidFill>
                      <a:srgbClr val="000000"/>
                    </a:solidFill>
                  </a:rPr>
                  <a:t>Projected Centerline Distance From Source 
(transformed from 2-D to 1-D), ft</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889249"/>
        <c:crossesAt val="0.001"/>
        <c:crossBetween val="midCat"/>
        <c:dispUnits/>
      </c:valAx>
      <c:valAx>
        <c:axId val="30889249"/>
        <c:scaling>
          <c:logBase val="10"/>
          <c:orientation val="minMax"/>
        </c:scaling>
        <c:axPos val="l"/>
        <c:title>
          <c:tx>
            <c:rich>
              <a:bodyPr vert="horz" rot="-5400000" anchor="ctr"/>
              <a:lstStyle/>
              <a:p>
                <a:pPr algn="ctr">
                  <a:defRPr/>
                </a:pPr>
                <a:r>
                  <a:rPr lang="en-US" cap="none" sz="900" b="1" i="0" u="none" baseline="0">
                    <a:solidFill>
                      <a:srgbClr val="000000"/>
                    </a:solidFill>
                  </a:rPr>
                  <a:t>Conc, ug/L</a:t>
                </a:r>
              </a:p>
            </c:rich>
          </c:tx>
          <c:layout>
            <c:manualLayout>
              <c:xMode val="factor"/>
              <c:yMode val="factor"/>
              <c:x val="-0.0005"/>
              <c:y val="0.001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801760"/>
        <c:crosses val="autoZero"/>
        <c:crossBetween val="midCat"/>
        <c:dispUnits/>
      </c:valAx>
      <c:spPr>
        <a:solidFill>
          <a:srgbClr val="C0C0C0"/>
        </a:solidFill>
        <a:ln w="12700">
          <a:solidFill>
            <a:srgbClr val="808080"/>
          </a:solidFill>
        </a:ln>
      </c:spPr>
    </c:plotArea>
    <c:legend>
      <c:legendPos val="r"/>
      <c:legendEntry>
        <c:idx val="0"/>
        <c:delete val="1"/>
      </c:legendEntry>
      <c:legendEntry>
        <c:idx val="1"/>
        <c:delete val="1"/>
      </c:legendEntry>
      <c:layout>
        <c:manualLayout>
          <c:xMode val="edge"/>
          <c:yMode val="edge"/>
          <c:x val="0.3805"/>
          <c:y val="0.1495"/>
          <c:w val="0.56125"/>
          <c:h val="0.063"/>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19050</xdr:rowOff>
    </xdr:from>
    <xdr:ext cx="7343775" cy="1009650"/>
    <xdr:sp>
      <xdr:nvSpPr>
        <xdr:cNvPr id="1" name="Text Box 3"/>
        <xdr:cNvSpPr txBox="1">
          <a:spLocks noChangeArrowheads="1"/>
        </xdr:cNvSpPr>
      </xdr:nvSpPr>
      <xdr:spPr>
        <a:xfrm>
          <a:off x="647700" y="2276475"/>
          <a:ext cx="7343775" cy="1009650"/>
        </a:xfrm>
        <a:prstGeom prst="rect">
          <a:avLst/>
        </a:prstGeom>
        <a:noFill/>
        <a:ln w="44450" cmpd="thickThin">
          <a:solidFill>
            <a:srgbClr val="000000"/>
          </a:solidFill>
          <a:headEnd type="none"/>
          <a:tailEnd type="none"/>
        </a:ln>
      </xdr:spPr>
      <xdr:txBody>
        <a:bodyPr vertOverflow="clip" wrap="square" lIns="27432" tIns="22860" rIns="27432" bIns="0"/>
        <a:p>
          <a:pPr algn="just">
            <a:defRPr/>
          </a:pPr>
          <a:r>
            <a:rPr lang="en-US" cap="none" sz="800" b="1" i="0" u="none" baseline="0">
              <a:solidFill>
                <a:srgbClr val="000000"/>
              </a:solidFill>
              <a:latin typeface="Times New Roman"/>
              <a:ea typeface="Times New Roman"/>
              <a:cs typeface="Times New Roman"/>
            </a:rPr>
            <a:t>DISCLAIMER:  "Package B_NAToolPetro.xls" </a:t>
          </a:r>
          <a:r>
            <a:rPr lang="en-US" cap="none" sz="80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161925</xdr:colOff>
      <xdr:row>6</xdr:row>
      <xdr:rowOff>9525</xdr:rowOff>
    </xdr:from>
    <xdr:ext cx="7219950" cy="1190625"/>
    <xdr:sp>
      <xdr:nvSpPr>
        <xdr:cNvPr id="2" name="Text Box 4"/>
        <xdr:cNvSpPr txBox="1">
          <a:spLocks noChangeArrowheads="1"/>
        </xdr:cNvSpPr>
      </xdr:nvSpPr>
      <xdr:spPr>
        <a:xfrm>
          <a:off x="695325" y="790575"/>
          <a:ext cx="7219950" cy="1190625"/>
        </a:xfrm>
        <a:prstGeom prst="rect">
          <a:avLst/>
        </a:prstGeom>
        <a:noFill/>
        <a:ln w="3175" cmpd="sng">
          <a:noFill/>
        </a:ln>
      </xdr:spPr>
      <xdr:txBody>
        <a:bodyPr vertOverflow="clip" wrap="square" lIns="36576" tIns="32004" rIns="36576" bIns="0"/>
        <a:p>
          <a:pPr algn="just">
            <a:defRPr/>
          </a:pPr>
          <a:r>
            <a:rPr lang="en-US" cap="none" sz="120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p>
      </xdr:txBody>
    </xdr:sp>
    <xdr:clientData/>
  </xdr:oneCellAnchor>
  <xdr:oneCellAnchor>
    <xdr:from>
      <xdr:col>2</xdr:col>
      <xdr:colOff>600075</xdr:colOff>
      <xdr:row>10</xdr:row>
      <xdr:rowOff>485775</xdr:rowOff>
    </xdr:from>
    <xdr:ext cx="704850" cy="180975"/>
    <xdr:sp>
      <xdr:nvSpPr>
        <xdr:cNvPr id="3" name="Text Box 5"/>
        <xdr:cNvSpPr txBox="1">
          <a:spLocks noChangeArrowheads="1"/>
        </xdr:cNvSpPr>
      </xdr:nvSpPr>
      <xdr:spPr>
        <a:xfrm>
          <a:off x="1133475" y="2019300"/>
          <a:ext cx="704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4</xdr:col>
      <xdr:colOff>971550</xdr:colOff>
      <xdr:row>11</xdr:row>
      <xdr:rowOff>0</xdr:rowOff>
    </xdr:from>
    <xdr:ext cx="619125" cy="161925"/>
    <xdr:sp>
      <xdr:nvSpPr>
        <xdr:cNvPr id="4" name="Text Box 6"/>
        <xdr:cNvSpPr txBox="1">
          <a:spLocks noChangeArrowheads="1"/>
        </xdr:cNvSpPr>
      </xdr:nvSpPr>
      <xdr:spPr>
        <a:xfrm>
          <a:off x="4429125" y="2038350"/>
          <a:ext cx="6191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3</xdr:col>
      <xdr:colOff>952500</xdr:colOff>
      <xdr:row>10</xdr:row>
      <xdr:rowOff>485775</xdr:rowOff>
    </xdr:from>
    <xdr:ext cx="1095375" cy="161925"/>
    <xdr:sp>
      <xdr:nvSpPr>
        <xdr:cNvPr id="5" name="Text Box 7"/>
        <xdr:cNvSpPr txBox="1">
          <a:spLocks noChangeArrowheads="1"/>
        </xdr:cNvSpPr>
      </xdr:nvSpPr>
      <xdr:spPr>
        <a:xfrm>
          <a:off x="2581275" y="2019300"/>
          <a:ext cx="109537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PROCEED</a:t>
          </a:r>
        </a:p>
      </xdr:txBody>
    </xdr:sp>
    <xdr:clientData fPrintsWithSheet="0"/>
  </xdr:oneCellAnchor>
  <xdr:oneCellAnchor>
    <xdr:from>
      <xdr:col>5</xdr:col>
      <xdr:colOff>295275</xdr:colOff>
      <xdr:row>11</xdr:row>
      <xdr:rowOff>0</xdr:rowOff>
    </xdr:from>
    <xdr:ext cx="1847850" cy="180975"/>
    <xdr:sp>
      <xdr:nvSpPr>
        <xdr:cNvPr id="6" name="Text Box 8"/>
        <xdr:cNvSpPr txBox="1">
          <a:spLocks noChangeArrowheads="1"/>
        </xdr:cNvSpPr>
      </xdr:nvSpPr>
      <xdr:spPr>
        <a:xfrm>
          <a:off x="5695950" y="2038350"/>
          <a:ext cx="1847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EXIT WORKBOOK</a:t>
          </a:r>
        </a:p>
      </xdr:txBody>
    </xdr:sp>
    <xdr:clientData fPrintsWithSheet="0"/>
  </xdr:oneCellAnchor>
  <xdr:oneCellAnchor>
    <xdr:from>
      <xdr:col>2</xdr:col>
      <xdr:colOff>219075</xdr:colOff>
      <xdr:row>12</xdr:row>
      <xdr:rowOff>0</xdr:rowOff>
    </xdr:from>
    <xdr:ext cx="95250" cy="190500"/>
    <xdr:sp>
      <xdr:nvSpPr>
        <xdr:cNvPr id="7" name="Text Box 9"/>
        <xdr:cNvSpPr txBox="1">
          <a:spLocks noChangeArrowheads="1"/>
        </xdr:cNvSpPr>
      </xdr:nvSpPr>
      <xdr:spPr>
        <a:xfrm>
          <a:off x="752475" y="225742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76200</xdr:rowOff>
    </xdr:from>
    <xdr:to>
      <xdr:col>16</xdr:col>
      <xdr:colOff>342900</xdr:colOff>
      <xdr:row>76</xdr:row>
      <xdr:rowOff>85725</xdr:rowOff>
    </xdr:to>
    <xdr:pic>
      <xdr:nvPicPr>
        <xdr:cNvPr id="1" name="Picture 12"/>
        <xdr:cNvPicPr preferRelativeResize="1">
          <a:picLocks noChangeAspect="1"/>
        </xdr:cNvPicPr>
      </xdr:nvPicPr>
      <xdr:blipFill>
        <a:blip r:embed="rId1"/>
        <a:stretch>
          <a:fillRect/>
        </a:stretch>
      </xdr:blipFill>
      <xdr:spPr>
        <a:xfrm>
          <a:off x="0" y="400050"/>
          <a:ext cx="11163300" cy="1183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7</xdr:row>
      <xdr:rowOff>57150</xdr:rowOff>
    </xdr:from>
    <xdr:to>
      <xdr:col>11</xdr:col>
      <xdr:colOff>666750</xdr:colOff>
      <xdr:row>28</xdr:row>
      <xdr:rowOff>161925</xdr:rowOff>
    </xdr:to>
    <xdr:graphicFrame>
      <xdr:nvGraphicFramePr>
        <xdr:cNvPr id="1" name="Chart 3"/>
        <xdr:cNvGraphicFramePr/>
      </xdr:nvGraphicFramePr>
      <xdr:xfrm>
        <a:off x="4791075" y="1381125"/>
        <a:ext cx="4610100" cy="388620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39</xdr:row>
      <xdr:rowOff>28575</xdr:rowOff>
    </xdr:from>
    <xdr:to>
      <xdr:col>11</xdr:col>
      <xdr:colOff>590550</xdr:colOff>
      <xdr:row>60</xdr:row>
      <xdr:rowOff>19050</xdr:rowOff>
    </xdr:to>
    <xdr:graphicFrame>
      <xdr:nvGraphicFramePr>
        <xdr:cNvPr id="2" name="Chart 11"/>
        <xdr:cNvGraphicFramePr/>
      </xdr:nvGraphicFramePr>
      <xdr:xfrm>
        <a:off x="4676775" y="6858000"/>
        <a:ext cx="4648200" cy="34575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39</xdr:row>
      <xdr:rowOff>47625</xdr:rowOff>
    </xdr:from>
    <xdr:to>
      <xdr:col>5</xdr:col>
      <xdr:colOff>9525</xdr:colOff>
      <xdr:row>60</xdr:row>
      <xdr:rowOff>19050</xdr:rowOff>
    </xdr:to>
    <xdr:graphicFrame>
      <xdr:nvGraphicFramePr>
        <xdr:cNvPr id="3" name="Chart 12"/>
        <xdr:cNvGraphicFramePr/>
      </xdr:nvGraphicFramePr>
      <xdr:xfrm>
        <a:off x="114300" y="6877050"/>
        <a:ext cx="4371975" cy="3438525"/>
      </xdr:xfrm>
      <a:graphic>
        <a:graphicData uri="http://schemas.openxmlformats.org/drawingml/2006/chart">
          <c:chart xmlns:c="http://schemas.openxmlformats.org/drawingml/2006/chart" r:id="rId3"/>
        </a:graphicData>
      </a:graphic>
    </xdr:graphicFrame>
    <xdr:clientData/>
  </xdr:twoCellAnchor>
  <xdr:twoCellAnchor>
    <xdr:from>
      <xdr:col>8</xdr:col>
      <xdr:colOff>704850</xdr:colOff>
      <xdr:row>35</xdr:row>
      <xdr:rowOff>0</xdr:rowOff>
    </xdr:from>
    <xdr:to>
      <xdr:col>9</xdr:col>
      <xdr:colOff>352425</xdr:colOff>
      <xdr:row>35</xdr:row>
      <xdr:rowOff>161925</xdr:rowOff>
    </xdr:to>
    <xdr:sp>
      <xdr:nvSpPr>
        <xdr:cNvPr id="4" name="Line 13"/>
        <xdr:cNvSpPr>
          <a:spLocks/>
        </xdr:cNvSpPr>
      </xdr:nvSpPr>
      <xdr:spPr>
        <a:xfrm flipH="1">
          <a:off x="7219950" y="6172200"/>
          <a:ext cx="36195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171450</xdr:colOff>
      <xdr:row>2</xdr:row>
      <xdr:rowOff>85725</xdr:rowOff>
    </xdr:from>
    <xdr:to>
      <xdr:col>8</xdr:col>
      <xdr:colOff>476250</xdr:colOff>
      <xdr:row>3</xdr:row>
      <xdr:rowOff>142875</xdr:rowOff>
    </xdr:to>
    <xdr:grpSp>
      <xdr:nvGrpSpPr>
        <xdr:cNvPr id="5" name="Group 14"/>
        <xdr:cNvGrpSpPr>
          <a:grpSpLocks/>
        </xdr:cNvGrpSpPr>
      </xdr:nvGrpSpPr>
      <xdr:grpSpPr>
        <a:xfrm>
          <a:off x="4648200" y="485775"/>
          <a:ext cx="2343150" cy="266700"/>
          <a:chOff x="542" y="82"/>
          <a:chExt cx="293"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125</xdr:row>
      <xdr:rowOff>0</xdr:rowOff>
    </xdr:from>
    <xdr:to>
      <xdr:col>12</xdr:col>
      <xdr:colOff>609600</xdr:colOff>
      <xdr:row>139</xdr:row>
      <xdr:rowOff>47625</xdr:rowOff>
    </xdr:to>
    <xdr:pic>
      <xdr:nvPicPr>
        <xdr:cNvPr id="1" name="Picture 54"/>
        <xdr:cNvPicPr preferRelativeResize="1">
          <a:picLocks noChangeAspect="1"/>
        </xdr:cNvPicPr>
      </xdr:nvPicPr>
      <xdr:blipFill>
        <a:blip r:embed="rId1"/>
        <a:stretch>
          <a:fillRect/>
        </a:stretch>
      </xdr:blipFill>
      <xdr:spPr>
        <a:xfrm>
          <a:off x="333375" y="20240625"/>
          <a:ext cx="8353425" cy="2314575"/>
        </a:xfrm>
        <a:prstGeom prst="rect">
          <a:avLst/>
        </a:prstGeom>
        <a:noFill/>
        <a:ln w="9525" cmpd="sng">
          <a:noFill/>
        </a:ln>
      </xdr:spPr>
    </xdr:pic>
    <xdr:clientData/>
  </xdr:twoCellAnchor>
  <xdr:twoCellAnchor editAs="oneCell">
    <xdr:from>
      <xdr:col>0</xdr:col>
      <xdr:colOff>19050</xdr:colOff>
      <xdr:row>5</xdr:row>
      <xdr:rowOff>0</xdr:rowOff>
    </xdr:from>
    <xdr:to>
      <xdr:col>12</xdr:col>
      <xdr:colOff>609600</xdr:colOff>
      <xdr:row>39</xdr:row>
      <xdr:rowOff>85725</xdr:rowOff>
    </xdr:to>
    <xdr:pic>
      <xdr:nvPicPr>
        <xdr:cNvPr id="2" name="Picture 57"/>
        <xdr:cNvPicPr preferRelativeResize="1">
          <a:picLocks noChangeAspect="1"/>
        </xdr:cNvPicPr>
      </xdr:nvPicPr>
      <xdr:blipFill>
        <a:blip r:embed="rId2"/>
        <a:stretch>
          <a:fillRect/>
        </a:stretch>
      </xdr:blipFill>
      <xdr:spPr>
        <a:xfrm>
          <a:off x="19050" y="809625"/>
          <a:ext cx="8667750" cy="5591175"/>
        </a:xfrm>
        <a:prstGeom prst="rect">
          <a:avLst/>
        </a:prstGeom>
        <a:noFill/>
        <a:ln w="9525" cmpd="sng">
          <a:noFill/>
        </a:ln>
      </xdr:spPr>
    </xdr:pic>
    <xdr:clientData/>
  </xdr:twoCellAnchor>
  <xdr:twoCellAnchor editAs="oneCell">
    <xdr:from>
      <xdr:col>0</xdr:col>
      <xdr:colOff>38100</xdr:colOff>
      <xdr:row>40</xdr:row>
      <xdr:rowOff>0</xdr:rowOff>
    </xdr:from>
    <xdr:to>
      <xdr:col>12</xdr:col>
      <xdr:colOff>628650</xdr:colOff>
      <xdr:row>67</xdr:row>
      <xdr:rowOff>38100</xdr:rowOff>
    </xdr:to>
    <xdr:pic>
      <xdr:nvPicPr>
        <xdr:cNvPr id="3" name="Picture 58"/>
        <xdr:cNvPicPr preferRelativeResize="1">
          <a:picLocks noChangeAspect="1"/>
        </xdr:cNvPicPr>
      </xdr:nvPicPr>
      <xdr:blipFill>
        <a:blip r:embed="rId3"/>
        <a:stretch>
          <a:fillRect/>
        </a:stretch>
      </xdr:blipFill>
      <xdr:spPr>
        <a:xfrm>
          <a:off x="38100" y="6477000"/>
          <a:ext cx="8667750" cy="4410075"/>
        </a:xfrm>
        <a:prstGeom prst="rect">
          <a:avLst/>
        </a:prstGeom>
        <a:noFill/>
        <a:ln w="9525" cmpd="sng">
          <a:noFill/>
        </a:ln>
      </xdr:spPr>
    </xdr:pic>
    <xdr:clientData/>
  </xdr:twoCellAnchor>
  <xdr:twoCellAnchor>
    <xdr:from>
      <xdr:col>1</xdr:col>
      <xdr:colOff>200025</xdr:colOff>
      <xdr:row>0</xdr:row>
      <xdr:rowOff>38100</xdr:rowOff>
    </xdr:from>
    <xdr:to>
      <xdr:col>5</xdr:col>
      <xdr:colOff>161925</xdr:colOff>
      <xdr:row>1</xdr:row>
      <xdr:rowOff>142875</xdr:rowOff>
    </xdr:to>
    <xdr:grpSp>
      <xdr:nvGrpSpPr>
        <xdr:cNvPr id="4" name="Group 38"/>
        <xdr:cNvGrpSpPr>
          <a:grpSpLocks/>
        </xdr:cNvGrpSpPr>
      </xdr:nvGrpSpPr>
      <xdr:grpSpPr>
        <a:xfrm>
          <a:off x="533400" y="38100"/>
          <a:ext cx="2667000" cy="266700"/>
          <a:chOff x="542" y="82"/>
          <a:chExt cx="293" cy="36"/>
        </a:xfrm>
        <a:solidFill>
          <a:srgbClr val="FFFFFF"/>
        </a:solidFill>
      </xdr:grpSpPr>
    </xdr:grpSp>
    <xdr:clientData/>
  </xdr:twoCellAnchor>
  <xdr:twoCellAnchor>
    <xdr:from>
      <xdr:col>1</xdr:col>
      <xdr:colOff>57150</xdr:colOff>
      <xdr:row>122</xdr:row>
      <xdr:rowOff>76200</xdr:rowOff>
    </xdr:from>
    <xdr:to>
      <xdr:col>5</xdr:col>
      <xdr:colOff>19050</xdr:colOff>
      <xdr:row>124</xdr:row>
      <xdr:rowOff>19050</xdr:rowOff>
    </xdr:to>
    <xdr:grpSp>
      <xdr:nvGrpSpPr>
        <xdr:cNvPr id="8" name="Group 43"/>
        <xdr:cNvGrpSpPr>
          <a:grpSpLocks/>
        </xdr:cNvGrpSpPr>
      </xdr:nvGrpSpPr>
      <xdr:grpSpPr>
        <a:xfrm>
          <a:off x="390525" y="19831050"/>
          <a:ext cx="2667000" cy="266700"/>
          <a:chOff x="542" y="82"/>
          <a:chExt cx="293" cy="3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400425" cy="171450"/>
    <xdr:sp>
      <xdr:nvSpPr>
        <xdr:cNvPr id="1" name="TextBox 4"/>
        <xdr:cNvSpPr txBox="1">
          <a:spLocks noChangeArrowheads="1"/>
        </xdr:cNvSpPr>
      </xdr:nvSpPr>
      <xdr:spPr>
        <a:xfrm>
          <a:off x="133350" y="342900"/>
          <a:ext cx="34004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B: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14</xdr:col>
      <xdr:colOff>0</xdr:colOff>
      <xdr:row>35</xdr:row>
      <xdr:rowOff>0</xdr:rowOff>
    </xdr:from>
    <xdr:ext cx="1600200" cy="685800"/>
    <xdr:sp>
      <xdr:nvSpPr>
        <xdr:cNvPr id="2" name="TextBox 5"/>
        <xdr:cNvSpPr txBox="1">
          <a:spLocks noChangeArrowheads="1"/>
        </xdr:cNvSpPr>
      </xdr:nvSpPr>
      <xdr:spPr>
        <a:xfrm>
          <a:off x="933450" y="2000250"/>
          <a:ext cx="1600200" cy="6858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2-D Transient-State Mode: Modified Domenico Equation used: with 1st Order Decay,   Instantaneous Reaction, or No Degradation Models</a:t>
          </a:r>
        </a:p>
      </xdr:txBody>
    </xdr:sp>
    <xdr:clientData/>
  </xdr:oneCellAnchor>
  <xdr:twoCellAnchor>
    <xdr:from>
      <xdr:col>26</xdr:col>
      <xdr:colOff>0</xdr:colOff>
      <xdr:row>32</xdr:row>
      <xdr:rowOff>0</xdr:rowOff>
    </xdr:from>
    <xdr:to>
      <xdr:col>26</xdr:col>
      <xdr:colOff>0</xdr:colOff>
      <xdr:row>35</xdr:row>
      <xdr:rowOff>0</xdr:rowOff>
    </xdr:to>
    <xdr:sp>
      <xdr:nvSpPr>
        <xdr:cNvPr id="3" name="Line 18"/>
        <xdr:cNvSpPr>
          <a:spLocks/>
        </xdr:cNvSpPr>
      </xdr:nvSpPr>
      <xdr:spPr>
        <a:xfrm>
          <a:off x="1733550" y="1828800"/>
          <a:ext cx="0" cy="1714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37</xdr:col>
      <xdr:colOff>9525</xdr:colOff>
      <xdr:row>22</xdr:row>
      <xdr:rowOff>0</xdr:rowOff>
    </xdr:from>
    <xdr:to>
      <xdr:col>41</xdr:col>
      <xdr:colOff>0</xdr:colOff>
      <xdr:row>22</xdr:row>
      <xdr:rowOff>0</xdr:rowOff>
    </xdr:to>
    <xdr:sp>
      <xdr:nvSpPr>
        <xdr:cNvPr id="4" name="Line 22"/>
        <xdr:cNvSpPr>
          <a:spLocks/>
        </xdr:cNvSpPr>
      </xdr:nvSpPr>
      <xdr:spPr>
        <a:xfrm>
          <a:off x="2476500" y="125730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41</xdr:row>
      <xdr:rowOff>0</xdr:rowOff>
    </xdr:from>
    <xdr:to>
      <xdr:col>45</xdr:col>
      <xdr:colOff>0</xdr:colOff>
      <xdr:row>41</xdr:row>
      <xdr:rowOff>0</xdr:rowOff>
    </xdr:to>
    <xdr:sp>
      <xdr:nvSpPr>
        <xdr:cNvPr id="5" name="Line 24"/>
        <xdr:cNvSpPr>
          <a:spLocks/>
        </xdr:cNvSpPr>
      </xdr:nvSpPr>
      <xdr:spPr>
        <a:xfrm flipV="1">
          <a:off x="2733675" y="23431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45</xdr:col>
      <xdr:colOff>0</xdr:colOff>
      <xdr:row>29</xdr:row>
      <xdr:rowOff>0</xdr:rowOff>
    </xdr:to>
    <xdr:sp>
      <xdr:nvSpPr>
        <xdr:cNvPr id="6" name="Line 38"/>
        <xdr:cNvSpPr>
          <a:spLocks/>
        </xdr:cNvSpPr>
      </xdr:nvSpPr>
      <xdr:spPr>
        <a:xfrm>
          <a:off x="2733675" y="16573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41</xdr:col>
      <xdr:colOff>0</xdr:colOff>
      <xdr:row>47</xdr:row>
      <xdr:rowOff>0</xdr:rowOff>
    </xdr:to>
    <xdr:sp>
      <xdr:nvSpPr>
        <xdr:cNvPr id="7" name="Line 39"/>
        <xdr:cNvSpPr>
          <a:spLocks/>
        </xdr:cNvSpPr>
      </xdr:nvSpPr>
      <xdr:spPr>
        <a:xfrm>
          <a:off x="2733675" y="1657350"/>
          <a:ext cx="0" cy="1028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14</xdr:col>
      <xdr:colOff>0</xdr:colOff>
      <xdr:row>19</xdr:row>
      <xdr:rowOff>0</xdr:rowOff>
    </xdr:from>
    <xdr:ext cx="1533525" cy="342900"/>
    <xdr:sp>
      <xdr:nvSpPr>
        <xdr:cNvPr id="8" name="TextBox 44"/>
        <xdr:cNvSpPr txBox="1">
          <a:spLocks noChangeArrowheads="1"/>
        </xdr:cNvSpPr>
      </xdr:nvSpPr>
      <xdr:spPr>
        <a:xfrm>
          <a:off x="933450" y="1085850"/>
          <a:ext cx="153352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1-D Steady-State Mode: Buscheck &amp; Alcantar Formula</a:t>
          </a:r>
        </a:p>
      </xdr:txBody>
    </xdr:sp>
    <xdr:clientData/>
  </xdr:oneCellAnchor>
  <xdr:twoCellAnchor>
    <xdr:from>
      <xdr:col>56</xdr:col>
      <xdr:colOff>0</xdr:colOff>
      <xdr:row>13</xdr:row>
      <xdr:rowOff>0</xdr:rowOff>
    </xdr:from>
    <xdr:to>
      <xdr:col>62</xdr:col>
      <xdr:colOff>0</xdr:colOff>
      <xdr:row>13</xdr:row>
      <xdr:rowOff>0</xdr:rowOff>
    </xdr:to>
    <xdr:sp>
      <xdr:nvSpPr>
        <xdr:cNvPr id="9" name="Line 48"/>
        <xdr:cNvSpPr>
          <a:spLocks/>
        </xdr:cNvSpPr>
      </xdr:nvSpPr>
      <xdr:spPr>
        <a:xfrm>
          <a:off x="3733800" y="742950"/>
          <a:ext cx="4000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35</xdr:row>
      <xdr:rowOff>0</xdr:rowOff>
    </xdr:from>
    <xdr:to>
      <xdr:col>44</xdr:col>
      <xdr:colOff>47625</xdr:colOff>
      <xdr:row>35</xdr:row>
      <xdr:rowOff>0</xdr:rowOff>
    </xdr:to>
    <xdr:sp>
      <xdr:nvSpPr>
        <xdr:cNvPr id="10" name="Line 49"/>
        <xdr:cNvSpPr>
          <a:spLocks/>
        </xdr:cNvSpPr>
      </xdr:nvSpPr>
      <xdr:spPr>
        <a:xfrm>
          <a:off x="2733675" y="2000250"/>
          <a:ext cx="2476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47</xdr:row>
      <xdr:rowOff>0</xdr:rowOff>
    </xdr:from>
    <xdr:to>
      <xdr:col>44</xdr:col>
      <xdr:colOff>57150</xdr:colOff>
      <xdr:row>47</xdr:row>
      <xdr:rowOff>0</xdr:rowOff>
    </xdr:to>
    <xdr:sp>
      <xdr:nvSpPr>
        <xdr:cNvPr id="11" name="Line 53"/>
        <xdr:cNvSpPr>
          <a:spLocks/>
        </xdr:cNvSpPr>
      </xdr:nvSpPr>
      <xdr:spPr>
        <a:xfrm flipV="1">
          <a:off x="2733675" y="268605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xdr:col>
      <xdr:colOff>0</xdr:colOff>
      <xdr:row>10</xdr:row>
      <xdr:rowOff>47625</xdr:rowOff>
    </xdr:from>
    <xdr:ext cx="666750" cy="238125"/>
    <xdr:sp>
      <xdr:nvSpPr>
        <xdr:cNvPr id="12" name="TextBox 54"/>
        <xdr:cNvSpPr txBox="1">
          <a:spLocks noChangeArrowheads="1"/>
        </xdr:cNvSpPr>
      </xdr:nvSpPr>
      <xdr:spPr>
        <a:xfrm>
          <a:off x="133350" y="6191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4</a:t>
          </a:r>
        </a:p>
      </xdr:txBody>
    </xdr:sp>
    <xdr:clientData/>
  </xdr:oneCellAnchor>
  <xdr:twoCellAnchor>
    <xdr:from>
      <xdr:col>12</xdr:col>
      <xdr:colOff>0</xdr:colOff>
      <xdr:row>13</xdr:row>
      <xdr:rowOff>0</xdr:rowOff>
    </xdr:from>
    <xdr:to>
      <xdr:col>14</xdr:col>
      <xdr:colOff>0</xdr:colOff>
      <xdr:row>13</xdr:row>
      <xdr:rowOff>0</xdr:rowOff>
    </xdr:to>
    <xdr:sp>
      <xdr:nvSpPr>
        <xdr:cNvPr id="13" name="Line 55"/>
        <xdr:cNvSpPr>
          <a:spLocks/>
        </xdr:cNvSpPr>
      </xdr:nvSpPr>
      <xdr:spPr>
        <a:xfrm>
          <a:off x="800100" y="7429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14</xdr:col>
      <xdr:colOff>0</xdr:colOff>
      <xdr:row>10</xdr:row>
      <xdr:rowOff>0</xdr:rowOff>
    </xdr:from>
    <xdr:ext cx="2800350" cy="342900"/>
    <xdr:sp>
      <xdr:nvSpPr>
        <xdr:cNvPr id="14" name="TextBox 56"/>
        <xdr:cNvSpPr txBox="1">
          <a:spLocks noChangeArrowheads="1"/>
        </xdr:cNvSpPr>
      </xdr:nvSpPr>
      <xdr:spPr>
        <a:xfrm>
          <a:off x="933450" y="571500"/>
          <a:ext cx="280035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Estimation of Contaminat Mass at Unsaturated, Smeared, Saturated Source Zones via Thiessen Polygon Network</a:t>
          </a:r>
        </a:p>
      </xdr:txBody>
    </xdr:sp>
    <xdr:clientData/>
  </xdr:oneCellAnchor>
  <xdr:oneCellAnchor>
    <xdr:from>
      <xdr:col>2</xdr:col>
      <xdr:colOff>0</xdr:colOff>
      <xdr:row>19</xdr:row>
      <xdr:rowOff>47625</xdr:rowOff>
    </xdr:from>
    <xdr:ext cx="666750" cy="238125"/>
    <xdr:sp>
      <xdr:nvSpPr>
        <xdr:cNvPr id="15" name="TextBox 57"/>
        <xdr:cNvSpPr txBox="1">
          <a:spLocks noChangeArrowheads="1"/>
        </xdr:cNvSpPr>
      </xdr:nvSpPr>
      <xdr:spPr>
        <a:xfrm>
          <a:off x="133350" y="113347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5</a:t>
          </a:r>
        </a:p>
      </xdr:txBody>
    </xdr:sp>
    <xdr:clientData/>
  </xdr:oneCellAnchor>
  <xdr:twoCellAnchor>
    <xdr:from>
      <xdr:col>12</xdr:col>
      <xdr:colOff>0</xdr:colOff>
      <xdr:row>22</xdr:row>
      <xdr:rowOff>0</xdr:rowOff>
    </xdr:from>
    <xdr:to>
      <xdr:col>14</xdr:col>
      <xdr:colOff>0</xdr:colOff>
      <xdr:row>22</xdr:row>
      <xdr:rowOff>0</xdr:rowOff>
    </xdr:to>
    <xdr:sp>
      <xdr:nvSpPr>
        <xdr:cNvPr id="16" name="Line 58"/>
        <xdr:cNvSpPr>
          <a:spLocks/>
        </xdr:cNvSpPr>
      </xdr:nvSpPr>
      <xdr:spPr>
        <a:xfrm>
          <a:off x="800100" y="125730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2</xdr:col>
      <xdr:colOff>0</xdr:colOff>
      <xdr:row>38</xdr:row>
      <xdr:rowOff>47625</xdr:rowOff>
    </xdr:from>
    <xdr:ext cx="666750" cy="238125"/>
    <xdr:sp>
      <xdr:nvSpPr>
        <xdr:cNvPr id="17" name="TextBox 61"/>
        <xdr:cNvSpPr txBox="1">
          <a:spLocks noChangeArrowheads="1"/>
        </xdr:cNvSpPr>
      </xdr:nvSpPr>
      <xdr:spPr>
        <a:xfrm>
          <a:off x="133350" y="22193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6</a:t>
          </a:r>
        </a:p>
      </xdr:txBody>
    </xdr:sp>
    <xdr:clientData/>
  </xdr:oneCellAnchor>
  <xdr:twoCellAnchor>
    <xdr:from>
      <xdr:col>12</xdr:col>
      <xdr:colOff>0</xdr:colOff>
      <xdr:row>41</xdr:row>
      <xdr:rowOff>0</xdr:rowOff>
    </xdr:from>
    <xdr:to>
      <xdr:col>14</xdr:col>
      <xdr:colOff>0</xdr:colOff>
      <xdr:row>41</xdr:row>
      <xdr:rowOff>0</xdr:rowOff>
    </xdr:to>
    <xdr:sp>
      <xdr:nvSpPr>
        <xdr:cNvPr id="18" name="Line 62"/>
        <xdr:cNvSpPr>
          <a:spLocks/>
        </xdr:cNvSpPr>
      </xdr:nvSpPr>
      <xdr:spPr>
        <a:xfrm>
          <a:off x="800100" y="23431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5</xdr:col>
      <xdr:colOff>0</xdr:colOff>
      <xdr:row>53</xdr:row>
      <xdr:rowOff>19050</xdr:rowOff>
    </xdr:from>
    <xdr:ext cx="4657725" cy="152400"/>
    <xdr:sp>
      <xdr:nvSpPr>
        <xdr:cNvPr id="19" name="TextBox 65"/>
        <xdr:cNvSpPr txBox="1">
          <a:spLocks noChangeArrowheads="1"/>
        </xdr:cNvSpPr>
      </xdr:nvSpPr>
      <xdr:spPr>
        <a:xfrm>
          <a:off x="333375" y="3048000"/>
          <a:ext cx="4657725" cy="152400"/>
        </a:xfrm>
        <a:prstGeom prst="rect">
          <a:avLst/>
        </a:prstGeom>
        <a:noFill/>
        <a:ln w="9525" cmpd="sng">
          <a:noFill/>
        </a:ln>
      </xdr:spPr>
      <xdr:txBody>
        <a:bodyPr vertOverflow="clip" wrap="square">
          <a:spAutoFit/>
        </a:bodyPr>
        <a:p>
          <a:pPr algn="l">
            <a:defRPr/>
          </a:pPr>
          <a:r>
            <a:rPr lang="en-US" cap="none" sz="800" b="1" i="1" u="none" baseline="0">
              <a:solidFill>
                <a:srgbClr val="FF0000"/>
              </a:solidFill>
              <a:latin typeface="Geneva"/>
              <a:ea typeface="Geneva"/>
              <a:cs typeface="Geneva"/>
            </a:rPr>
            <a:t>Note: If no data leave blank in the data entry; unit of contaminant's concentration is ug/L.</a:t>
          </a:r>
        </a:p>
      </xdr:txBody>
    </xdr:sp>
    <xdr:clientData/>
  </xdr:oneCellAnchor>
  <xdr:twoCellAnchor>
    <xdr:from>
      <xdr:col>26</xdr:col>
      <xdr:colOff>0</xdr:colOff>
      <xdr:row>25</xdr:row>
      <xdr:rowOff>0</xdr:rowOff>
    </xdr:from>
    <xdr:to>
      <xdr:col>26</xdr:col>
      <xdr:colOff>0</xdr:colOff>
      <xdr:row>28</xdr:row>
      <xdr:rowOff>0</xdr:rowOff>
    </xdr:to>
    <xdr:sp>
      <xdr:nvSpPr>
        <xdr:cNvPr id="20" name="Line 66"/>
        <xdr:cNvSpPr>
          <a:spLocks/>
        </xdr:cNvSpPr>
      </xdr:nvSpPr>
      <xdr:spPr>
        <a:xfrm flipV="1">
          <a:off x="1733550" y="14287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1" name="Line 68"/>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2" name="Line 69"/>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3" name="Line 70"/>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38</xdr:col>
      <xdr:colOff>0</xdr:colOff>
      <xdr:row>41</xdr:row>
      <xdr:rowOff>0</xdr:rowOff>
    </xdr:from>
    <xdr:to>
      <xdr:col>41</xdr:col>
      <xdr:colOff>0</xdr:colOff>
      <xdr:row>41</xdr:row>
      <xdr:rowOff>0</xdr:rowOff>
    </xdr:to>
    <xdr:sp>
      <xdr:nvSpPr>
        <xdr:cNvPr id="24" name="Line 73"/>
        <xdr:cNvSpPr>
          <a:spLocks/>
        </xdr:cNvSpPr>
      </xdr:nvSpPr>
      <xdr:spPr>
        <a:xfrm>
          <a:off x="2533650" y="2343150"/>
          <a:ext cx="2000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5" name="Line 74"/>
        <xdr:cNvSpPr>
          <a:spLocks/>
        </xdr:cNvSpPr>
      </xdr:nvSpPr>
      <xdr:spPr>
        <a:xfrm>
          <a:off x="800100" y="1714500"/>
          <a:ext cx="2667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0</xdr:row>
      <xdr:rowOff>76200</xdr:rowOff>
    </xdr:from>
    <xdr:to>
      <xdr:col>16</xdr:col>
      <xdr:colOff>295275</xdr:colOff>
      <xdr:row>10</xdr:row>
      <xdr:rowOff>190500</xdr:rowOff>
    </xdr:to>
    <xdr:pic>
      <xdr:nvPicPr>
        <xdr:cNvPr id="1" name="Picture 23" descr="15012001th_th.jpg (9425 bytes)"/>
        <xdr:cNvPicPr preferRelativeResize="1">
          <a:picLocks noChangeAspect="1"/>
        </xdr:cNvPicPr>
      </xdr:nvPicPr>
      <xdr:blipFill>
        <a:blip r:embed="rId1"/>
        <a:stretch>
          <a:fillRect/>
        </a:stretch>
      </xdr:blipFill>
      <xdr:spPr>
        <a:xfrm>
          <a:off x="8277225" y="76200"/>
          <a:ext cx="1943100" cy="1476375"/>
        </a:xfrm>
        <a:prstGeom prst="rect">
          <a:avLst/>
        </a:prstGeom>
        <a:solidFill>
          <a:srgbClr val="69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9</xdr:row>
      <xdr:rowOff>76200</xdr:rowOff>
    </xdr:from>
    <xdr:to>
      <xdr:col>20</xdr:col>
      <xdr:colOff>352425</xdr:colOff>
      <xdr:row>11</xdr:row>
      <xdr:rowOff>123825</xdr:rowOff>
    </xdr:to>
    <xdr:sp>
      <xdr:nvSpPr>
        <xdr:cNvPr id="1" name="Text 382"/>
        <xdr:cNvSpPr txBox="1">
          <a:spLocks noChangeArrowheads="1"/>
        </xdr:cNvSpPr>
      </xdr:nvSpPr>
      <xdr:spPr>
        <a:xfrm>
          <a:off x="6724650" y="1619250"/>
          <a:ext cx="3876675" cy="381000"/>
        </a:xfrm>
        <a:prstGeom prst="rect">
          <a:avLst/>
        </a:prstGeom>
        <a:solidFill>
          <a:srgbClr val="C0C0C0">
            <a:alpha val="0"/>
          </a:srgbClr>
        </a:solidFill>
        <a:ln w="0" cmpd="sng">
          <a:noFill/>
        </a:ln>
      </xdr:spPr>
      <xdr:txBody>
        <a:bodyPr vertOverflow="clip" wrap="square" lIns="36576" tIns="27432" rIns="0" bIns="0"/>
        <a:p>
          <a:pPr algn="l">
            <a:defRPr/>
          </a:pPr>
          <a:r>
            <a:rPr lang="en-US" cap="none" sz="1000" b="0" i="1" u="none" baseline="0">
              <a:solidFill>
                <a:srgbClr val="000000"/>
              </a:solidFill>
              <a:latin typeface="Geneva"/>
              <a:ea typeface="Geneva"/>
              <a:cs typeface="Geneva"/>
            </a:rPr>
            <a:t>Vertical Plane Source:  Look at Plume Cross-Section and Input Concentrations &amp; Widths for Zones 1, 2, and 3</a:t>
          </a:r>
        </a:p>
      </xdr:txBody>
    </xdr:sp>
    <xdr:clientData/>
  </xdr:twoCellAnchor>
  <xdr:twoCellAnchor>
    <xdr:from>
      <xdr:col>9</xdr:col>
      <xdr:colOff>152400</xdr:colOff>
      <xdr:row>12</xdr:row>
      <xdr:rowOff>142875</xdr:rowOff>
    </xdr:from>
    <xdr:to>
      <xdr:col>9</xdr:col>
      <xdr:colOff>447675</xdr:colOff>
      <xdr:row>16</xdr:row>
      <xdr:rowOff>57150</xdr:rowOff>
    </xdr:to>
    <xdr:sp>
      <xdr:nvSpPr>
        <xdr:cNvPr id="2" name="Oval 188"/>
        <xdr:cNvSpPr>
          <a:spLocks/>
        </xdr:cNvSpPr>
      </xdr:nvSpPr>
      <xdr:spPr>
        <a:xfrm>
          <a:off x="5667375" y="2181225"/>
          <a:ext cx="295275" cy="619125"/>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85725</xdr:colOff>
      <xdr:row>14</xdr:row>
      <xdr:rowOff>19050</xdr:rowOff>
    </xdr:from>
    <xdr:to>
      <xdr:col>10</xdr:col>
      <xdr:colOff>123825</xdr:colOff>
      <xdr:row>14</xdr:row>
      <xdr:rowOff>57150</xdr:rowOff>
    </xdr:to>
    <xdr:sp>
      <xdr:nvSpPr>
        <xdr:cNvPr id="3" name="Oval 146"/>
        <xdr:cNvSpPr>
          <a:spLocks/>
        </xdr:cNvSpPr>
      </xdr:nvSpPr>
      <xdr:spPr>
        <a:xfrm>
          <a:off x="6048375" y="2447925"/>
          <a:ext cx="38100" cy="38100"/>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447675</xdr:colOff>
      <xdr:row>14</xdr:row>
      <xdr:rowOff>0</xdr:rowOff>
    </xdr:from>
    <xdr:to>
      <xdr:col>9</xdr:col>
      <xdr:colOff>447675</xdr:colOff>
      <xdr:row>14</xdr:row>
      <xdr:rowOff>47625</xdr:rowOff>
    </xdr:to>
    <xdr:sp>
      <xdr:nvSpPr>
        <xdr:cNvPr id="4" name="Oval 148"/>
        <xdr:cNvSpPr>
          <a:spLocks/>
        </xdr:cNvSpPr>
      </xdr:nvSpPr>
      <xdr:spPr>
        <a:xfrm>
          <a:off x="5962650" y="2428875"/>
          <a:ext cx="0" cy="4762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190500</xdr:colOff>
      <xdr:row>11</xdr:row>
      <xdr:rowOff>104775</xdr:rowOff>
    </xdr:from>
    <xdr:to>
      <xdr:col>12</xdr:col>
      <xdr:colOff>0</xdr:colOff>
      <xdr:row>17</xdr:row>
      <xdr:rowOff>85725</xdr:rowOff>
    </xdr:to>
    <xdr:sp>
      <xdr:nvSpPr>
        <xdr:cNvPr id="5" name="Oval 184"/>
        <xdr:cNvSpPr>
          <a:spLocks/>
        </xdr:cNvSpPr>
      </xdr:nvSpPr>
      <xdr:spPr>
        <a:xfrm>
          <a:off x="5705475" y="1981200"/>
          <a:ext cx="1114425" cy="1009650"/>
        </a:xfrm>
        <a:prstGeom prst="ellipse">
          <a:avLst/>
        </a:prstGeom>
        <a:solidFill>
          <a:srgbClr val="3366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133350</xdr:colOff>
      <xdr:row>11</xdr:row>
      <xdr:rowOff>104775</xdr:rowOff>
    </xdr:from>
    <xdr:to>
      <xdr:col>18</xdr:col>
      <xdr:colOff>257175</xdr:colOff>
      <xdr:row>17</xdr:row>
      <xdr:rowOff>95250</xdr:rowOff>
    </xdr:to>
    <xdr:grpSp>
      <xdr:nvGrpSpPr>
        <xdr:cNvPr id="6" name="Group 474"/>
        <xdr:cNvGrpSpPr>
          <a:grpSpLocks/>
        </xdr:cNvGrpSpPr>
      </xdr:nvGrpSpPr>
      <xdr:grpSpPr>
        <a:xfrm>
          <a:off x="5648325" y="1981200"/>
          <a:ext cx="4000500" cy="1019175"/>
          <a:chOff x="665" y="248"/>
          <a:chExt cx="495" cy="125"/>
        </a:xfrm>
        <a:solidFill>
          <a:srgbClr val="FFFFFF"/>
        </a:solidFill>
      </xdr:grpSpPr>
    </xdr:grpSp>
    <xdr:clientData/>
  </xdr:twoCellAnchor>
  <xdr:twoCellAnchor>
    <xdr:from>
      <xdr:col>10</xdr:col>
      <xdr:colOff>0</xdr:colOff>
      <xdr:row>11</xdr:row>
      <xdr:rowOff>66675</xdr:rowOff>
    </xdr:from>
    <xdr:to>
      <xdr:col>10</xdr:col>
      <xdr:colOff>0</xdr:colOff>
      <xdr:row>18</xdr:row>
      <xdr:rowOff>9525</xdr:rowOff>
    </xdr:to>
    <xdr:sp>
      <xdr:nvSpPr>
        <xdr:cNvPr id="13" name="Line 205"/>
        <xdr:cNvSpPr>
          <a:spLocks/>
        </xdr:cNvSpPr>
      </xdr:nvSpPr>
      <xdr:spPr>
        <a:xfrm>
          <a:off x="5962650" y="1943100"/>
          <a:ext cx="0" cy="1133475"/>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28575</xdr:colOff>
      <xdr:row>10</xdr:row>
      <xdr:rowOff>57150</xdr:rowOff>
    </xdr:from>
    <xdr:to>
      <xdr:col>12</xdr:col>
      <xdr:colOff>66675</xdr:colOff>
      <xdr:row>11</xdr:row>
      <xdr:rowOff>76200</xdr:rowOff>
    </xdr:to>
    <xdr:sp>
      <xdr:nvSpPr>
        <xdr:cNvPr id="14" name="Line 207"/>
        <xdr:cNvSpPr>
          <a:spLocks/>
        </xdr:cNvSpPr>
      </xdr:nvSpPr>
      <xdr:spPr>
        <a:xfrm flipH="1">
          <a:off x="5991225" y="1771650"/>
          <a:ext cx="895350" cy="18097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66675</xdr:colOff>
      <xdr:row>5</xdr:row>
      <xdr:rowOff>9525</xdr:rowOff>
    </xdr:from>
    <xdr:to>
      <xdr:col>4</xdr:col>
      <xdr:colOff>600075</xdr:colOff>
      <xdr:row>5</xdr:row>
      <xdr:rowOff>123825</xdr:rowOff>
    </xdr:to>
    <xdr:grpSp>
      <xdr:nvGrpSpPr>
        <xdr:cNvPr id="15" name="Group 446"/>
        <xdr:cNvGrpSpPr>
          <a:grpSpLocks/>
        </xdr:cNvGrpSpPr>
      </xdr:nvGrpSpPr>
      <xdr:grpSpPr>
        <a:xfrm>
          <a:off x="2476500" y="914400"/>
          <a:ext cx="533400" cy="114300"/>
          <a:chOff x="-65" y="-19"/>
          <a:chExt cx="63" cy="16"/>
        </a:xfrm>
        <a:solidFill>
          <a:srgbClr val="FFFFFF"/>
        </a:solidFill>
      </xdr:grpSpPr>
      <xdr:sp>
        <xdr:nvSpPr>
          <xdr:cNvPr id="16" name="Line 447"/>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7"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66675</xdr:colOff>
      <xdr:row>14</xdr:row>
      <xdr:rowOff>19050</xdr:rowOff>
    </xdr:from>
    <xdr:to>
      <xdr:col>4</xdr:col>
      <xdr:colOff>600075</xdr:colOff>
      <xdr:row>14</xdr:row>
      <xdr:rowOff>142875</xdr:rowOff>
    </xdr:to>
    <xdr:grpSp>
      <xdr:nvGrpSpPr>
        <xdr:cNvPr id="18" name="Group 449"/>
        <xdr:cNvGrpSpPr>
          <a:grpSpLocks/>
        </xdr:cNvGrpSpPr>
      </xdr:nvGrpSpPr>
      <xdr:grpSpPr>
        <a:xfrm>
          <a:off x="2476500" y="2447925"/>
          <a:ext cx="533400" cy="123825"/>
          <a:chOff x="-65" y="-19"/>
          <a:chExt cx="63" cy="16"/>
        </a:xfrm>
        <a:solidFill>
          <a:srgbClr val="FFFFFF"/>
        </a:solidFill>
      </xdr:grpSpPr>
      <xdr:sp>
        <xdr:nvSpPr>
          <xdr:cNvPr id="19" name="Line 450"/>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0"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76200</xdr:colOff>
      <xdr:row>20</xdr:row>
      <xdr:rowOff>19050</xdr:rowOff>
    </xdr:from>
    <xdr:to>
      <xdr:col>4</xdr:col>
      <xdr:colOff>609600</xdr:colOff>
      <xdr:row>20</xdr:row>
      <xdr:rowOff>142875</xdr:rowOff>
    </xdr:to>
    <xdr:grpSp>
      <xdr:nvGrpSpPr>
        <xdr:cNvPr id="21" name="Group 452"/>
        <xdr:cNvGrpSpPr>
          <a:grpSpLocks/>
        </xdr:cNvGrpSpPr>
      </xdr:nvGrpSpPr>
      <xdr:grpSpPr>
        <a:xfrm>
          <a:off x="2486025" y="3409950"/>
          <a:ext cx="533400" cy="123825"/>
          <a:chOff x="-65" y="-19"/>
          <a:chExt cx="63" cy="16"/>
        </a:xfrm>
        <a:solidFill>
          <a:srgbClr val="FFFFFF"/>
        </a:solidFill>
      </xdr:grpSpPr>
      <xdr:sp>
        <xdr:nvSpPr>
          <xdr:cNvPr id="22" name="Line 453"/>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3"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0" bIns="0"/>
          <a:p>
            <a:pPr algn="l">
              <a:defRPr/>
            </a:pPr>
            <a:r>
              <a:rPr lang="en-US" cap="none" sz="800" b="0" i="1" u="none" baseline="0">
                <a:solidFill>
                  <a:srgbClr val="000000"/>
                </a:solidFill>
              </a:rPr>
              <a:t>or</a:t>
            </a:r>
          </a:p>
        </xdr:txBody>
      </xdr:sp>
    </xdr:grpSp>
    <xdr:clientData/>
  </xdr:twoCellAnchor>
  <xdr:twoCellAnchor>
    <xdr:from>
      <xdr:col>4</xdr:col>
      <xdr:colOff>76200</xdr:colOff>
      <xdr:row>28</xdr:row>
      <xdr:rowOff>9525</xdr:rowOff>
    </xdr:from>
    <xdr:to>
      <xdr:col>4</xdr:col>
      <xdr:colOff>609600</xdr:colOff>
      <xdr:row>28</xdr:row>
      <xdr:rowOff>133350</xdr:rowOff>
    </xdr:to>
    <xdr:grpSp>
      <xdr:nvGrpSpPr>
        <xdr:cNvPr id="24" name="Group 455"/>
        <xdr:cNvGrpSpPr>
          <a:grpSpLocks/>
        </xdr:cNvGrpSpPr>
      </xdr:nvGrpSpPr>
      <xdr:grpSpPr>
        <a:xfrm>
          <a:off x="2486025" y="4848225"/>
          <a:ext cx="533400" cy="123825"/>
          <a:chOff x="309" y="137"/>
          <a:chExt cx="63" cy="16"/>
        </a:xfrm>
        <a:solidFill>
          <a:srgbClr val="FFFFFF"/>
        </a:solidFill>
      </xdr:grpSpPr>
      <xdr:sp>
        <xdr:nvSpPr>
          <xdr:cNvPr id="25" name="Line 456"/>
          <xdr:cNvSpPr>
            <a:spLocks/>
          </xdr:cNvSpPr>
        </xdr:nvSpPr>
        <xdr:spPr>
          <a:xfrm>
            <a:off x="309" y="137"/>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6" name="Text 340"/>
          <xdr:cNvSpPr txBox="1">
            <a:spLocks noChangeArrowheads="1"/>
          </xdr:cNvSpPr>
        </xdr:nvSpPr>
        <xdr:spPr>
          <a:xfrm>
            <a:off x="323" y="137"/>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7</xdr:col>
      <xdr:colOff>714375</xdr:colOff>
      <xdr:row>19</xdr:row>
      <xdr:rowOff>0</xdr:rowOff>
    </xdr:from>
    <xdr:to>
      <xdr:col>8</xdr:col>
      <xdr:colOff>104775</xdr:colOff>
      <xdr:row>20</xdr:row>
      <xdr:rowOff>0</xdr:rowOff>
    </xdr:to>
    <xdr:grpSp>
      <xdr:nvGrpSpPr>
        <xdr:cNvPr id="27" name="Group 458"/>
        <xdr:cNvGrpSpPr>
          <a:grpSpLocks/>
        </xdr:cNvGrpSpPr>
      </xdr:nvGrpSpPr>
      <xdr:grpSpPr>
        <a:xfrm>
          <a:off x="4543425" y="3228975"/>
          <a:ext cx="200025" cy="161925"/>
          <a:chOff x="538" y="402"/>
          <a:chExt cx="23" cy="21"/>
        </a:xfrm>
        <a:solidFill>
          <a:srgbClr val="FFFFFF"/>
        </a:solidFill>
      </xdr:grpSpPr>
      <xdr:sp>
        <xdr:nvSpPr>
          <xdr:cNvPr id="28" name="Line 459"/>
          <xdr:cNvSpPr>
            <a:spLocks/>
          </xdr:cNvSpPr>
        </xdr:nvSpPr>
        <xdr:spPr>
          <a:xfrm flipH="1" flipV="1">
            <a:off x="538" y="402"/>
            <a:ext cx="11" cy="21"/>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9" name="Line 460"/>
          <xdr:cNvSpPr>
            <a:spLocks/>
          </xdr:cNvSpPr>
        </xdr:nvSpPr>
        <xdr:spPr>
          <a:xfrm flipH="1" flipV="1">
            <a:off x="561" y="402"/>
            <a:ext cx="0" cy="20"/>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38100</xdr:colOff>
      <xdr:row>2</xdr:row>
      <xdr:rowOff>0</xdr:rowOff>
    </xdr:from>
    <xdr:to>
      <xdr:col>15</xdr:col>
      <xdr:colOff>28575</xdr:colOff>
      <xdr:row>2</xdr:row>
      <xdr:rowOff>123825</xdr:rowOff>
    </xdr:to>
    <xdr:grpSp>
      <xdr:nvGrpSpPr>
        <xdr:cNvPr id="30" name="Group 564"/>
        <xdr:cNvGrpSpPr>
          <a:grpSpLocks/>
        </xdr:cNvGrpSpPr>
      </xdr:nvGrpSpPr>
      <xdr:grpSpPr>
        <a:xfrm>
          <a:off x="7715250" y="361950"/>
          <a:ext cx="419100" cy="123825"/>
          <a:chOff x="959" y="49"/>
          <a:chExt cx="50" cy="16"/>
        </a:xfrm>
        <a:solidFill>
          <a:srgbClr val="FFFFFF"/>
        </a:solidFill>
      </xdr:grpSpPr>
      <xdr:sp>
        <xdr:nvSpPr>
          <xdr:cNvPr id="31" name="Line 462"/>
          <xdr:cNvSpPr>
            <a:spLocks/>
          </xdr:cNvSpPr>
        </xdr:nvSpPr>
        <xdr:spPr>
          <a:xfrm flipV="1">
            <a:off x="959" y="4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2" name="Text 340"/>
          <xdr:cNvSpPr txBox="1">
            <a:spLocks noChangeArrowheads="1"/>
          </xdr:cNvSpPr>
        </xdr:nvSpPr>
        <xdr:spPr>
          <a:xfrm>
            <a:off x="973" y="49"/>
            <a:ext cx="36"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8</xdr:col>
      <xdr:colOff>847725</xdr:colOff>
      <xdr:row>11</xdr:row>
      <xdr:rowOff>133350</xdr:rowOff>
    </xdr:from>
    <xdr:to>
      <xdr:col>9</xdr:col>
      <xdr:colOff>447675</xdr:colOff>
      <xdr:row>17</xdr:row>
      <xdr:rowOff>76200</xdr:rowOff>
    </xdr:to>
    <xdr:grpSp>
      <xdr:nvGrpSpPr>
        <xdr:cNvPr id="33" name="Group 464"/>
        <xdr:cNvGrpSpPr>
          <a:grpSpLocks/>
        </xdr:cNvGrpSpPr>
      </xdr:nvGrpSpPr>
      <xdr:grpSpPr>
        <a:xfrm>
          <a:off x="5486400" y="2009775"/>
          <a:ext cx="476250" cy="971550"/>
          <a:chOff x="644" y="252"/>
          <a:chExt cx="72" cy="118"/>
        </a:xfrm>
        <a:solidFill>
          <a:srgbClr val="FFFFFF"/>
        </a:solidFill>
      </xdr:grpSpPr>
      <xdr:grpSp>
        <xdr:nvGrpSpPr>
          <xdr:cNvPr id="35" name="Group 466"/>
          <xdr:cNvGrpSpPr>
            <a:grpSpLocks/>
          </xdr:cNvGrpSpPr>
        </xdr:nvGrpSpPr>
        <xdr:grpSpPr>
          <a:xfrm>
            <a:off x="644" y="255"/>
            <a:ext cx="70" cy="105"/>
            <a:chOff x="143" y="-117"/>
            <a:chExt cx="19460" cy="19951"/>
          </a:xfrm>
          <a:solidFill>
            <a:srgbClr val="FFFFFF"/>
          </a:solidFill>
        </xdr:grpSpPr>
        <xdr:sp>
          <xdr:nvSpPr>
            <xdr:cNvPr id="36" name="Line 467"/>
            <xdr:cNvSpPr>
              <a:spLocks/>
            </xdr:cNvSpPr>
          </xdr:nvSpPr>
          <xdr:spPr>
            <a:xfrm>
              <a:off x="143" y="3868"/>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7" name="Line 468"/>
            <xdr:cNvSpPr>
              <a:spLocks/>
            </xdr:cNvSpPr>
          </xdr:nvSpPr>
          <xdr:spPr>
            <a:xfrm>
              <a:off x="975" y="7858"/>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8" name="Line 469"/>
            <xdr:cNvSpPr>
              <a:spLocks/>
            </xdr:cNvSpPr>
          </xdr:nvSpPr>
          <xdr:spPr>
            <a:xfrm>
              <a:off x="975" y="11849"/>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9" name="Line 470"/>
            <xdr:cNvSpPr>
              <a:spLocks/>
            </xdr:cNvSpPr>
          </xdr:nvSpPr>
          <xdr:spPr>
            <a:xfrm flipV="1">
              <a:off x="975" y="15844"/>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0" name="Line 471"/>
            <xdr:cNvSpPr>
              <a:spLocks/>
            </xdr:cNvSpPr>
          </xdr:nvSpPr>
          <xdr:spPr>
            <a:xfrm>
              <a:off x="143" y="19834"/>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1" name="Line 472"/>
            <xdr:cNvSpPr>
              <a:spLocks/>
            </xdr:cNvSpPr>
          </xdr:nvSpPr>
          <xdr:spPr>
            <a:xfrm>
              <a:off x="143" y="-117"/>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grpSp>
      <xdr:sp>
        <xdr:nvSpPr>
          <xdr:cNvPr id="42" name="Text 371"/>
          <xdr:cNvSpPr txBox="1">
            <a:spLocks noChangeArrowheads="1"/>
          </xdr:cNvSpPr>
        </xdr:nvSpPr>
        <xdr:spPr>
          <a:xfrm>
            <a:off x="670" y="257"/>
            <a:ext cx="22" cy="107"/>
          </a:xfrm>
          <a:prstGeom prst="rect">
            <a:avLst/>
          </a:prstGeom>
          <a:noFill/>
          <a:ln w="1" cmpd="sng">
            <a:noFill/>
          </a:ln>
        </xdr:spPr>
        <xdr:txBody>
          <a:bodyPr vertOverflow="clip" wrap="square" lIns="36576" tIns="27432" rIns="0" bIns="0"/>
          <a:p>
            <a:pPr algn="l">
              <a:defRPr/>
            </a:pPr>
            <a:r>
              <a:rPr lang="en-US" cap="none" sz="1000" b="0" i="0" u="none" baseline="0">
                <a:solidFill>
                  <a:srgbClr val="FFFFFF"/>
                </a:solidFill>
                <a:latin typeface="Geneva"/>
                <a:ea typeface="Geneva"/>
                <a:cs typeface="Geneva"/>
              </a:rPr>
              <a:t>1
</a:t>
            </a:r>
            <a:r>
              <a:rPr lang="en-US" cap="none" sz="1000" b="0" i="0" u="none" baseline="0">
                <a:solidFill>
                  <a:srgbClr val="FFFFFF"/>
                </a:solidFill>
                <a:latin typeface="Geneva"/>
                <a:ea typeface="Geneva"/>
                <a:cs typeface="Geneva"/>
              </a:rPr>
              <a:t>2
</a:t>
            </a:r>
            <a:r>
              <a:rPr lang="en-US" cap="none" sz="1000" b="0" i="0" u="none" baseline="0">
                <a:solidFill>
                  <a:srgbClr val="FFFFFF"/>
                </a:solidFill>
                <a:latin typeface="Geneva"/>
                <a:ea typeface="Geneva"/>
                <a:cs typeface="Geneva"/>
              </a:rPr>
              <a:t>3
</a:t>
            </a:r>
            <a:r>
              <a:rPr lang="en-US" cap="none" sz="1000" b="0" i="0" u="none" baseline="0">
                <a:solidFill>
                  <a:srgbClr val="FFFFFF"/>
                </a:solidFill>
                <a:latin typeface="Geneva"/>
                <a:ea typeface="Geneva"/>
                <a:cs typeface="Geneva"/>
              </a:rPr>
              <a:t>4
</a:t>
            </a:r>
            <a:r>
              <a:rPr lang="en-US" cap="none" sz="1000" b="0" i="0" u="none" baseline="0">
                <a:solidFill>
                  <a:srgbClr val="FFFFFF"/>
                </a:solidFill>
                <a:latin typeface="Geneva"/>
                <a:ea typeface="Geneva"/>
                <a:cs typeface="Geneva"/>
              </a:rPr>
              <a:t>5</a:t>
            </a:r>
          </a:p>
        </xdr:txBody>
      </xdr:sp>
    </xdr:grpSp>
    <xdr:clientData/>
  </xdr:twoCellAnchor>
  <xdr:twoCellAnchor>
    <xdr:from>
      <xdr:col>9</xdr:col>
      <xdr:colOff>447675</xdr:colOff>
      <xdr:row>14</xdr:row>
      <xdr:rowOff>28575</xdr:rowOff>
    </xdr:from>
    <xdr:to>
      <xdr:col>10</xdr:col>
      <xdr:colOff>66675</xdr:colOff>
      <xdr:row>14</xdr:row>
      <xdr:rowOff>104775</xdr:rowOff>
    </xdr:to>
    <xdr:grpSp>
      <xdr:nvGrpSpPr>
        <xdr:cNvPr id="43" name="Group 475"/>
        <xdr:cNvGrpSpPr>
          <a:grpSpLocks/>
        </xdr:cNvGrpSpPr>
      </xdr:nvGrpSpPr>
      <xdr:grpSpPr>
        <a:xfrm>
          <a:off x="5962650" y="2457450"/>
          <a:ext cx="66675" cy="76200"/>
          <a:chOff x="-1688" y="-15"/>
          <a:chExt cx="3920" cy="10"/>
        </a:xfrm>
        <a:solidFill>
          <a:srgbClr val="FFFFFF"/>
        </a:solidFill>
      </xdr:grpSpPr>
      <xdr:sp>
        <xdr:nvSpPr>
          <xdr:cNvPr id="44" name="Rectangle 476"/>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5" name="Line 477"/>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6" name="Line 478"/>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11</xdr:col>
      <xdr:colOff>66675</xdr:colOff>
      <xdr:row>15</xdr:row>
      <xdr:rowOff>19050</xdr:rowOff>
    </xdr:from>
    <xdr:to>
      <xdr:col>11</xdr:col>
      <xdr:colOff>152400</xdr:colOff>
      <xdr:row>15</xdr:row>
      <xdr:rowOff>95250</xdr:rowOff>
    </xdr:to>
    <xdr:grpSp>
      <xdr:nvGrpSpPr>
        <xdr:cNvPr id="47" name="Group 479"/>
        <xdr:cNvGrpSpPr>
          <a:grpSpLocks/>
        </xdr:cNvGrpSpPr>
      </xdr:nvGrpSpPr>
      <xdr:grpSpPr>
        <a:xfrm>
          <a:off x="6457950" y="2600325"/>
          <a:ext cx="85725" cy="76200"/>
          <a:chOff x="-2088" y="-15"/>
          <a:chExt cx="3920" cy="10"/>
        </a:xfrm>
        <a:solidFill>
          <a:srgbClr val="FFFFFF"/>
        </a:solidFill>
      </xdr:grpSpPr>
      <xdr:sp>
        <xdr:nvSpPr>
          <xdr:cNvPr id="48" name="Rectangle 480"/>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9" name="Line 481"/>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0" name="Line 482"/>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152400</xdr:colOff>
      <xdr:row>12</xdr:row>
      <xdr:rowOff>133350</xdr:rowOff>
    </xdr:from>
    <xdr:to>
      <xdr:col>12</xdr:col>
      <xdr:colOff>238125</xdr:colOff>
      <xdr:row>13</xdr:row>
      <xdr:rowOff>57150</xdr:rowOff>
    </xdr:to>
    <xdr:grpSp>
      <xdr:nvGrpSpPr>
        <xdr:cNvPr id="51" name="Group 483"/>
        <xdr:cNvGrpSpPr>
          <a:grpSpLocks/>
        </xdr:cNvGrpSpPr>
      </xdr:nvGrpSpPr>
      <xdr:grpSpPr>
        <a:xfrm>
          <a:off x="6972300" y="2171700"/>
          <a:ext cx="85725" cy="133350"/>
          <a:chOff x="-1704" y="-15"/>
          <a:chExt cx="3920" cy="10"/>
        </a:xfrm>
        <a:solidFill>
          <a:srgbClr val="FFFFFF"/>
        </a:solidFill>
      </xdr:grpSpPr>
      <xdr:sp>
        <xdr:nvSpPr>
          <xdr:cNvPr id="52" name="Rectangle 484"/>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3" name="Line 485"/>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4" name="Line 486"/>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323850</xdr:colOff>
      <xdr:row>14</xdr:row>
      <xdr:rowOff>133350</xdr:rowOff>
    </xdr:from>
    <xdr:to>
      <xdr:col>12</xdr:col>
      <xdr:colOff>400050</xdr:colOff>
      <xdr:row>15</xdr:row>
      <xdr:rowOff>57150</xdr:rowOff>
    </xdr:to>
    <xdr:grpSp>
      <xdr:nvGrpSpPr>
        <xdr:cNvPr id="55" name="Group 487"/>
        <xdr:cNvGrpSpPr>
          <a:grpSpLocks/>
        </xdr:cNvGrpSpPr>
      </xdr:nvGrpSpPr>
      <xdr:grpSpPr>
        <a:xfrm>
          <a:off x="7143750" y="2562225"/>
          <a:ext cx="85725" cy="76200"/>
          <a:chOff x="-2104" y="-15"/>
          <a:chExt cx="3920" cy="10"/>
        </a:xfrm>
        <a:solidFill>
          <a:srgbClr val="FFFFFF"/>
        </a:solidFill>
      </xdr:grpSpPr>
      <xdr:sp>
        <xdr:nvSpPr>
          <xdr:cNvPr id="56" name="Rectangle 488"/>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7" name="Line 489"/>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8" name="Line 490"/>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190500</xdr:colOff>
      <xdr:row>15</xdr:row>
      <xdr:rowOff>95250</xdr:rowOff>
    </xdr:from>
    <xdr:to>
      <xdr:col>14</xdr:col>
      <xdr:colOff>276225</xdr:colOff>
      <xdr:row>16</xdr:row>
      <xdr:rowOff>19050</xdr:rowOff>
    </xdr:to>
    <xdr:grpSp>
      <xdr:nvGrpSpPr>
        <xdr:cNvPr id="59" name="Group 491"/>
        <xdr:cNvGrpSpPr>
          <a:grpSpLocks/>
        </xdr:cNvGrpSpPr>
      </xdr:nvGrpSpPr>
      <xdr:grpSpPr>
        <a:xfrm>
          <a:off x="7867650" y="2676525"/>
          <a:ext cx="85725" cy="85725"/>
          <a:chOff x="-2112" y="-15"/>
          <a:chExt cx="3920" cy="10"/>
        </a:xfrm>
        <a:solidFill>
          <a:srgbClr val="FFFFFF"/>
        </a:solidFill>
      </xdr:grpSpPr>
      <xdr:sp>
        <xdr:nvSpPr>
          <xdr:cNvPr id="60" name="Rectangle 492"/>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1" name="Line 493"/>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2" name="Line 494"/>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19050</xdr:colOff>
      <xdr:row>12</xdr:row>
      <xdr:rowOff>28575</xdr:rowOff>
    </xdr:from>
    <xdr:to>
      <xdr:col>16</xdr:col>
      <xdr:colOff>104775</xdr:colOff>
      <xdr:row>12</xdr:row>
      <xdr:rowOff>104775</xdr:rowOff>
    </xdr:to>
    <xdr:grpSp>
      <xdr:nvGrpSpPr>
        <xdr:cNvPr id="63" name="Group 495"/>
        <xdr:cNvGrpSpPr>
          <a:grpSpLocks/>
        </xdr:cNvGrpSpPr>
      </xdr:nvGrpSpPr>
      <xdr:grpSpPr>
        <a:xfrm>
          <a:off x="8553450" y="2066925"/>
          <a:ext cx="85725" cy="76200"/>
          <a:chOff x="-2512" y="-15"/>
          <a:chExt cx="3920" cy="10"/>
        </a:xfrm>
        <a:solidFill>
          <a:srgbClr val="FFFFFF"/>
        </a:solidFill>
      </xdr:grpSpPr>
      <xdr:sp>
        <xdr:nvSpPr>
          <xdr:cNvPr id="64" name="Rectangle 496"/>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5" name="Line 497"/>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6" name="Line 498"/>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17</xdr:col>
      <xdr:colOff>285750</xdr:colOff>
      <xdr:row>14</xdr:row>
      <xdr:rowOff>38100</xdr:rowOff>
    </xdr:from>
    <xdr:to>
      <xdr:col>17</xdr:col>
      <xdr:colOff>371475</xdr:colOff>
      <xdr:row>14</xdr:row>
      <xdr:rowOff>114300</xdr:rowOff>
    </xdr:to>
    <xdr:grpSp>
      <xdr:nvGrpSpPr>
        <xdr:cNvPr id="67" name="Group 499"/>
        <xdr:cNvGrpSpPr>
          <a:grpSpLocks/>
        </xdr:cNvGrpSpPr>
      </xdr:nvGrpSpPr>
      <xdr:grpSpPr>
        <a:xfrm>
          <a:off x="9248775" y="2466975"/>
          <a:ext cx="85725" cy="76200"/>
          <a:chOff x="-2128" y="-15"/>
          <a:chExt cx="3920" cy="10"/>
        </a:xfrm>
        <a:solidFill>
          <a:srgbClr val="FFFFFF"/>
        </a:solidFill>
      </xdr:grpSpPr>
      <xdr:sp>
        <xdr:nvSpPr>
          <xdr:cNvPr id="68" name="Rectangle 500"/>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9" name="Line 501"/>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70" name="Line 502"/>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9</xdr:col>
      <xdr:colOff>361950</xdr:colOff>
      <xdr:row>15</xdr:row>
      <xdr:rowOff>57150</xdr:rowOff>
    </xdr:from>
    <xdr:to>
      <xdr:col>10</xdr:col>
      <xdr:colOff>9525</xdr:colOff>
      <xdr:row>22</xdr:row>
      <xdr:rowOff>104775</xdr:rowOff>
    </xdr:to>
    <xdr:sp>
      <xdr:nvSpPr>
        <xdr:cNvPr id="71" name="Line 503"/>
        <xdr:cNvSpPr>
          <a:spLocks/>
        </xdr:cNvSpPr>
      </xdr:nvSpPr>
      <xdr:spPr>
        <a:xfrm flipV="1">
          <a:off x="5876925" y="2638425"/>
          <a:ext cx="95250" cy="124777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57150</xdr:colOff>
      <xdr:row>14</xdr:row>
      <xdr:rowOff>28575</xdr:rowOff>
    </xdr:from>
    <xdr:to>
      <xdr:col>17</xdr:col>
      <xdr:colOff>38100</xdr:colOff>
      <xdr:row>14</xdr:row>
      <xdr:rowOff>28575</xdr:rowOff>
    </xdr:to>
    <xdr:sp>
      <xdr:nvSpPr>
        <xdr:cNvPr id="72" name="Line 504"/>
        <xdr:cNvSpPr>
          <a:spLocks/>
        </xdr:cNvSpPr>
      </xdr:nvSpPr>
      <xdr:spPr>
        <a:xfrm>
          <a:off x="6019800" y="2457450"/>
          <a:ext cx="298132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371475</xdr:colOff>
      <xdr:row>13</xdr:row>
      <xdr:rowOff>57150</xdr:rowOff>
    </xdr:from>
    <xdr:ext cx="952500" cy="161925"/>
    <xdr:sp>
      <xdr:nvSpPr>
        <xdr:cNvPr id="73" name="Text Box 505"/>
        <xdr:cNvSpPr txBox="1">
          <a:spLocks noChangeArrowheads="1"/>
        </xdr:cNvSpPr>
      </xdr:nvSpPr>
      <xdr:spPr>
        <a:xfrm>
          <a:off x="6762750" y="2305050"/>
          <a:ext cx="9525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Geneva"/>
              <a:ea typeface="Geneva"/>
              <a:cs typeface="Geneva"/>
            </a:rPr>
            <a:t>Plume Centerline</a:t>
          </a:r>
        </a:p>
      </xdr:txBody>
    </xdr:sp>
    <xdr:clientData/>
  </xdr:oneCellAnchor>
  <xdr:twoCellAnchor>
    <xdr:from>
      <xdr:col>10</xdr:col>
      <xdr:colOff>19050</xdr:colOff>
      <xdr:row>15</xdr:row>
      <xdr:rowOff>133350</xdr:rowOff>
    </xdr:from>
    <xdr:to>
      <xdr:col>14</xdr:col>
      <xdr:colOff>180975</xdr:colOff>
      <xdr:row>15</xdr:row>
      <xdr:rowOff>133350</xdr:rowOff>
    </xdr:to>
    <xdr:sp>
      <xdr:nvSpPr>
        <xdr:cNvPr id="74" name="Line 508"/>
        <xdr:cNvSpPr>
          <a:spLocks/>
        </xdr:cNvSpPr>
      </xdr:nvSpPr>
      <xdr:spPr>
        <a:xfrm>
          <a:off x="5981700" y="2714625"/>
          <a:ext cx="1876425"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247650</xdr:colOff>
      <xdr:row>14</xdr:row>
      <xdr:rowOff>19050</xdr:rowOff>
    </xdr:from>
    <xdr:to>
      <xdr:col>14</xdr:col>
      <xdr:colOff>247650</xdr:colOff>
      <xdr:row>15</xdr:row>
      <xdr:rowOff>95250</xdr:rowOff>
    </xdr:to>
    <xdr:sp>
      <xdr:nvSpPr>
        <xdr:cNvPr id="75" name="Line 509"/>
        <xdr:cNvSpPr>
          <a:spLocks/>
        </xdr:cNvSpPr>
      </xdr:nvSpPr>
      <xdr:spPr>
        <a:xfrm rot="5400000" flipH="1">
          <a:off x="7924800" y="2447925"/>
          <a:ext cx="0" cy="22860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390525</xdr:colOff>
      <xdr:row>15</xdr:row>
      <xdr:rowOff>0</xdr:rowOff>
    </xdr:from>
    <xdr:ext cx="123825" cy="200025"/>
    <xdr:sp>
      <xdr:nvSpPr>
        <xdr:cNvPr id="76" name="Text Box 510"/>
        <xdr:cNvSpPr txBox="1">
          <a:spLocks noChangeArrowheads="1"/>
        </xdr:cNvSpPr>
      </xdr:nvSpPr>
      <xdr:spPr>
        <a:xfrm>
          <a:off x="6781800" y="2581275"/>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x</a:t>
          </a:r>
        </a:p>
      </xdr:txBody>
    </xdr:sp>
    <xdr:clientData/>
  </xdr:oneCellAnchor>
  <xdr:oneCellAnchor>
    <xdr:from>
      <xdr:col>14</xdr:col>
      <xdr:colOff>314325</xdr:colOff>
      <xdr:row>14</xdr:row>
      <xdr:rowOff>9525</xdr:rowOff>
    </xdr:from>
    <xdr:ext cx="123825" cy="200025"/>
    <xdr:sp>
      <xdr:nvSpPr>
        <xdr:cNvPr id="77" name="Text Box 511"/>
        <xdr:cNvSpPr txBox="1">
          <a:spLocks noChangeArrowheads="1"/>
        </xdr:cNvSpPr>
      </xdr:nvSpPr>
      <xdr:spPr>
        <a:xfrm>
          <a:off x="7991475" y="2438400"/>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y</a:t>
          </a:r>
        </a:p>
      </xdr:txBody>
    </xdr:sp>
    <xdr:clientData/>
  </xdr:oneCellAnchor>
  <xdr:twoCellAnchor>
    <xdr:from>
      <xdr:col>17</xdr:col>
      <xdr:colOff>333375</xdr:colOff>
      <xdr:row>13</xdr:row>
      <xdr:rowOff>47625</xdr:rowOff>
    </xdr:from>
    <xdr:to>
      <xdr:col>17</xdr:col>
      <xdr:colOff>419100</xdr:colOff>
      <xdr:row>13</xdr:row>
      <xdr:rowOff>123825</xdr:rowOff>
    </xdr:to>
    <xdr:grpSp>
      <xdr:nvGrpSpPr>
        <xdr:cNvPr id="78" name="Group 512"/>
        <xdr:cNvGrpSpPr>
          <a:grpSpLocks/>
        </xdr:cNvGrpSpPr>
      </xdr:nvGrpSpPr>
      <xdr:grpSpPr>
        <a:xfrm>
          <a:off x="9296400" y="2295525"/>
          <a:ext cx="85725" cy="76200"/>
          <a:chOff x="-2512" y="-15"/>
          <a:chExt cx="3920" cy="10"/>
        </a:xfrm>
        <a:solidFill>
          <a:srgbClr val="FFFFFF"/>
        </a:solidFill>
      </xdr:grpSpPr>
      <xdr:sp>
        <xdr:nvSpPr>
          <xdr:cNvPr id="79" name="Rectangle 51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0" name="Line 51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1" name="Line 51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161925</xdr:colOff>
      <xdr:row>15</xdr:row>
      <xdr:rowOff>66675</xdr:rowOff>
    </xdr:from>
    <xdr:to>
      <xdr:col>16</xdr:col>
      <xdr:colOff>247650</xdr:colOff>
      <xdr:row>15</xdr:row>
      <xdr:rowOff>142875</xdr:rowOff>
    </xdr:to>
    <xdr:grpSp>
      <xdr:nvGrpSpPr>
        <xdr:cNvPr id="82" name="Group 516"/>
        <xdr:cNvGrpSpPr>
          <a:grpSpLocks/>
        </xdr:cNvGrpSpPr>
      </xdr:nvGrpSpPr>
      <xdr:grpSpPr>
        <a:xfrm>
          <a:off x="8696325" y="2647950"/>
          <a:ext cx="85725" cy="76200"/>
          <a:chOff x="-2512" y="-15"/>
          <a:chExt cx="3920" cy="10"/>
        </a:xfrm>
        <a:solidFill>
          <a:srgbClr val="FFFFFF"/>
        </a:solidFill>
      </xdr:grpSpPr>
      <xdr:sp>
        <xdr:nvSpPr>
          <xdr:cNvPr id="83" name="Rectangle 517"/>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4" name="Line 518"/>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5" name="Line 519"/>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18</xdr:col>
      <xdr:colOff>409575</xdr:colOff>
      <xdr:row>14</xdr:row>
      <xdr:rowOff>19050</xdr:rowOff>
    </xdr:from>
    <xdr:to>
      <xdr:col>19</xdr:col>
      <xdr:colOff>66675</xdr:colOff>
      <xdr:row>14</xdr:row>
      <xdr:rowOff>95250</xdr:rowOff>
    </xdr:to>
    <xdr:grpSp>
      <xdr:nvGrpSpPr>
        <xdr:cNvPr id="86" name="Group 520"/>
        <xdr:cNvGrpSpPr>
          <a:grpSpLocks/>
        </xdr:cNvGrpSpPr>
      </xdr:nvGrpSpPr>
      <xdr:grpSpPr>
        <a:xfrm>
          <a:off x="9801225" y="2447925"/>
          <a:ext cx="85725" cy="76200"/>
          <a:chOff x="-2512" y="-15"/>
          <a:chExt cx="3920" cy="10"/>
        </a:xfrm>
        <a:solidFill>
          <a:srgbClr val="FFFFFF"/>
        </a:solidFill>
      </xdr:grpSpPr>
      <xdr:sp>
        <xdr:nvSpPr>
          <xdr:cNvPr id="87" name="Rectangle 52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8" name="Line 52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9" name="Line 52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10</xdr:col>
      <xdr:colOff>285750</xdr:colOff>
      <xdr:row>15</xdr:row>
      <xdr:rowOff>95250</xdr:rowOff>
    </xdr:from>
    <xdr:to>
      <xdr:col>11</xdr:col>
      <xdr:colOff>95250</xdr:colOff>
      <xdr:row>22</xdr:row>
      <xdr:rowOff>85725</xdr:rowOff>
    </xdr:to>
    <xdr:sp>
      <xdr:nvSpPr>
        <xdr:cNvPr id="90" name="Line 549"/>
        <xdr:cNvSpPr>
          <a:spLocks/>
        </xdr:cNvSpPr>
      </xdr:nvSpPr>
      <xdr:spPr>
        <a:xfrm flipV="1">
          <a:off x="6248400" y="2676525"/>
          <a:ext cx="23812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11</xdr:col>
      <xdr:colOff>209550</xdr:colOff>
      <xdr:row>15</xdr:row>
      <xdr:rowOff>142875</xdr:rowOff>
    </xdr:from>
    <xdr:to>
      <xdr:col>14</xdr:col>
      <xdr:colOff>171450</xdr:colOff>
      <xdr:row>22</xdr:row>
      <xdr:rowOff>133350</xdr:rowOff>
    </xdr:to>
    <xdr:sp>
      <xdr:nvSpPr>
        <xdr:cNvPr id="91" name="Line 550"/>
        <xdr:cNvSpPr>
          <a:spLocks/>
        </xdr:cNvSpPr>
      </xdr:nvSpPr>
      <xdr:spPr>
        <a:xfrm flipV="1">
          <a:off x="6600825" y="2724150"/>
          <a:ext cx="124777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685800</xdr:colOff>
      <xdr:row>27</xdr:row>
      <xdr:rowOff>123825</xdr:rowOff>
    </xdr:from>
    <xdr:to>
      <xdr:col>7</xdr:col>
      <xdr:colOff>76200</xdr:colOff>
      <xdr:row>30</xdr:row>
      <xdr:rowOff>38100</xdr:rowOff>
    </xdr:to>
    <xdr:sp>
      <xdr:nvSpPr>
        <xdr:cNvPr id="92" name="Line 553"/>
        <xdr:cNvSpPr>
          <a:spLocks/>
        </xdr:cNvSpPr>
      </xdr:nvSpPr>
      <xdr:spPr>
        <a:xfrm flipH="1" flipV="1">
          <a:off x="3095625" y="4800600"/>
          <a:ext cx="809625" cy="44767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390525</xdr:colOff>
      <xdr:row>1</xdr:row>
      <xdr:rowOff>57150</xdr:rowOff>
    </xdr:from>
    <xdr:to>
      <xdr:col>15</xdr:col>
      <xdr:colOff>180975</xdr:colOff>
      <xdr:row>1</xdr:row>
      <xdr:rowOff>76200</xdr:rowOff>
    </xdr:to>
    <xdr:sp>
      <xdr:nvSpPr>
        <xdr:cNvPr id="93" name="Line 573"/>
        <xdr:cNvSpPr>
          <a:spLocks/>
        </xdr:cNvSpPr>
      </xdr:nvSpPr>
      <xdr:spPr>
        <a:xfrm flipV="1">
          <a:off x="8067675" y="285750"/>
          <a:ext cx="2190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371475</xdr:colOff>
      <xdr:row>2</xdr:row>
      <xdr:rowOff>95250</xdr:rowOff>
    </xdr:from>
    <xdr:to>
      <xdr:col>15</xdr:col>
      <xdr:colOff>209550</xdr:colOff>
      <xdr:row>3</xdr:row>
      <xdr:rowOff>114300</xdr:rowOff>
    </xdr:to>
    <xdr:sp>
      <xdr:nvSpPr>
        <xdr:cNvPr id="94" name="Line 574"/>
        <xdr:cNvSpPr>
          <a:spLocks/>
        </xdr:cNvSpPr>
      </xdr:nvSpPr>
      <xdr:spPr>
        <a:xfrm flipV="1">
          <a:off x="8048625" y="457200"/>
          <a:ext cx="266700" cy="15240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9525</xdr:colOff>
      <xdr:row>5</xdr:row>
      <xdr:rowOff>66675</xdr:rowOff>
    </xdr:from>
    <xdr:to>
      <xdr:col>15</xdr:col>
      <xdr:colOff>247650</xdr:colOff>
      <xdr:row>5</xdr:row>
      <xdr:rowOff>85725</xdr:rowOff>
    </xdr:to>
    <xdr:sp>
      <xdr:nvSpPr>
        <xdr:cNvPr id="95" name="Line 575"/>
        <xdr:cNvSpPr>
          <a:spLocks/>
        </xdr:cNvSpPr>
      </xdr:nvSpPr>
      <xdr:spPr>
        <a:xfrm>
          <a:off x="8115300" y="971550"/>
          <a:ext cx="23812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381000</xdr:colOff>
      <xdr:row>6</xdr:row>
      <xdr:rowOff>95250</xdr:rowOff>
    </xdr:from>
    <xdr:to>
      <xdr:col>15</xdr:col>
      <xdr:colOff>247650</xdr:colOff>
      <xdr:row>6</xdr:row>
      <xdr:rowOff>104775</xdr:rowOff>
    </xdr:to>
    <xdr:sp>
      <xdr:nvSpPr>
        <xdr:cNvPr id="96" name="Line 576"/>
        <xdr:cNvSpPr>
          <a:spLocks/>
        </xdr:cNvSpPr>
      </xdr:nvSpPr>
      <xdr:spPr>
        <a:xfrm>
          <a:off x="8058150" y="1123950"/>
          <a:ext cx="2952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333375</xdr:colOff>
      <xdr:row>8</xdr:row>
      <xdr:rowOff>114300</xdr:rowOff>
    </xdr:from>
    <xdr:to>
      <xdr:col>15</xdr:col>
      <xdr:colOff>247650</xdr:colOff>
      <xdr:row>8</xdr:row>
      <xdr:rowOff>114300</xdr:rowOff>
    </xdr:to>
    <xdr:sp>
      <xdr:nvSpPr>
        <xdr:cNvPr id="97" name="Line 580"/>
        <xdr:cNvSpPr>
          <a:spLocks/>
        </xdr:cNvSpPr>
      </xdr:nvSpPr>
      <xdr:spPr>
        <a:xfrm>
          <a:off x="8010525" y="1466850"/>
          <a:ext cx="342900" cy="952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28575</xdr:colOff>
      <xdr:row>30</xdr:row>
      <xdr:rowOff>76200</xdr:rowOff>
    </xdr:from>
    <xdr:to>
      <xdr:col>7</xdr:col>
      <xdr:colOff>47625</xdr:colOff>
      <xdr:row>31</xdr:row>
      <xdr:rowOff>0</xdr:rowOff>
    </xdr:to>
    <xdr:sp>
      <xdr:nvSpPr>
        <xdr:cNvPr id="98" name="Line 581"/>
        <xdr:cNvSpPr>
          <a:spLocks/>
        </xdr:cNvSpPr>
      </xdr:nvSpPr>
      <xdr:spPr>
        <a:xfrm>
          <a:off x="3228975" y="5286375"/>
          <a:ext cx="647700" cy="8572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7</xdr:col>
      <xdr:colOff>104775</xdr:colOff>
      <xdr:row>33</xdr:row>
      <xdr:rowOff>114300</xdr:rowOff>
    </xdr:from>
    <xdr:ext cx="6238875" cy="1009650"/>
    <xdr:sp>
      <xdr:nvSpPr>
        <xdr:cNvPr id="99" name="Text Box 582"/>
        <xdr:cNvSpPr txBox="1">
          <a:spLocks noChangeArrowheads="1"/>
        </xdr:cNvSpPr>
      </xdr:nvSpPr>
      <xdr:spPr>
        <a:xfrm>
          <a:off x="3933825" y="5810250"/>
          <a:ext cx="6238875" cy="1009650"/>
        </a:xfrm>
        <a:prstGeom prst="rect">
          <a:avLst/>
        </a:prstGeom>
        <a:solidFill>
          <a:srgbClr val="FFFFFF"/>
        </a:solidFill>
        <a:ln w="0"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Geneva"/>
              <a:ea typeface="Geneva"/>
              <a:cs typeface="Geneva"/>
            </a:rPr>
            <a:t>Note: THIS SPACE IS FOR  site description if any…
</a:t>
          </a:r>
        </a:p>
      </xdr:txBody>
    </xdr:sp>
    <xdr:clientData/>
  </xdr:oneCellAnchor>
  <xdr:twoCellAnchor>
    <xdr:from>
      <xdr:col>15</xdr:col>
      <xdr:colOff>180975</xdr:colOff>
      <xdr:row>4</xdr:row>
      <xdr:rowOff>104775</xdr:rowOff>
    </xdr:from>
    <xdr:to>
      <xdr:col>16</xdr:col>
      <xdr:colOff>85725</xdr:colOff>
      <xdr:row>4</xdr:row>
      <xdr:rowOff>123825</xdr:rowOff>
    </xdr:to>
    <xdr:sp>
      <xdr:nvSpPr>
        <xdr:cNvPr id="100" name="Line 588"/>
        <xdr:cNvSpPr>
          <a:spLocks/>
        </xdr:cNvSpPr>
      </xdr:nvSpPr>
      <xdr:spPr>
        <a:xfrm flipV="1">
          <a:off x="8286750" y="790575"/>
          <a:ext cx="3333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19</xdr:row>
      <xdr:rowOff>123825</xdr:rowOff>
    </xdr:from>
    <xdr:to>
      <xdr:col>11</xdr:col>
      <xdr:colOff>714375</xdr:colOff>
      <xdr:row>34</xdr:row>
      <xdr:rowOff>28575</xdr:rowOff>
    </xdr:to>
    <xdr:graphicFrame>
      <xdr:nvGraphicFramePr>
        <xdr:cNvPr id="1" name="Chart 30"/>
        <xdr:cNvGraphicFramePr/>
      </xdr:nvGraphicFramePr>
      <xdr:xfrm>
        <a:off x="190500" y="3448050"/>
        <a:ext cx="9534525" cy="32194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34</xdr:row>
      <xdr:rowOff>161925</xdr:rowOff>
    </xdr:from>
    <xdr:to>
      <xdr:col>11</xdr:col>
      <xdr:colOff>733425</xdr:colOff>
      <xdr:row>49</xdr:row>
      <xdr:rowOff>28575</xdr:rowOff>
    </xdr:to>
    <xdr:graphicFrame>
      <xdr:nvGraphicFramePr>
        <xdr:cNvPr id="2" name="Chart 52"/>
        <xdr:cNvGraphicFramePr/>
      </xdr:nvGraphicFramePr>
      <xdr:xfrm>
        <a:off x="200025" y="6800850"/>
        <a:ext cx="9544050" cy="3219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47625</xdr:rowOff>
    </xdr:from>
    <xdr:to>
      <xdr:col>7</xdr:col>
      <xdr:colOff>695325</xdr:colOff>
      <xdr:row>37</xdr:row>
      <xdr:rowOff>123825</xdr:rowOff>
    </xdr:to>
    <xdr:graphicFrame>
      <xdr:nvGraphicFramePr>
        <xdr:cNvPr id="1" name="Chart 5"/>
        <xdr:cNvGraphicFramePr/>
      </xdr:nvGraphicFramePr>
      <xdr:xfrm>
        <a:off x="0" y="2867025"/>
        <a:ext cx="5715000" cy="34004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6</xdr:row>
      <xdr:rowOff>0</xdr:rowOff>
    </xdr:from>
    <xdr:to>
      <xdr:col>0</xdr:col>
      <xdr:colOff>276225</xdr:colOff>
      <xdr:row>6</xdr:row>
      <xdr:rowOff>142875</xdr:rowOff>
    </xdr:to>
    <xdr:sp>
      <xdr:nvSpPr>
        <xdr:cNvPr id="2" name="Line 13"/>
        <xdr:cNvSpPr>
          <a:spLocks/>
        </xdr:cNvSpPr>
      </xdr:nvSpPr>
      <xdr:spPr>
        <a:xfrm>
          <a:off x="276225" y="990600"/>
          <a:ext cx="0" cy="14287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342900</xdr:colOff>
      <xdr:row>22</xdr:row>
      <xdr:rowOff>95250</xdr:rowOff>
    </xdr:from>
    <xdr:to>
      <xdr:col>13</xdr:col>
      <xdr:colOff>342900</xdr:colOff>
      <xdr:row>22</xdr:row>
      <xdr:rowOff>95250</xdr:rowOff>
    </xdr:to>
    <xdr:sp>
      <xdr:nvSpPr>
        <xdr:cNvPr id="3" name="Line 25"/>
        <xdr:cNvSpPr>
          <a:spLocks/>
        </xdr:cNvSpPr>
      </xdr:nvSpPr>
      <xdr:spPr>
        <a:xfrm>
          <a:off x="6096000" y="3733800"/>
          <a:ext cx="3714750" cy="0"/>
        </a:xfrm>
        <a:prstGeom prst="line">
          <a:avLst/>
        </a:prstGeom>
        <a:noFill/>
        <a:ln w="2476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76200</xdr:colOff>
      <xdr:row>28</xdr:row>
      <xdr:rowOff>28575</xdr:rowOff>
    </xdr:from>
    <xdr:to>
      <xdr:col>13</xdr:col>
      <xdr:colOff>714375</xdr:colOff>
      <xdr:row>28</xdr:row>
      <xdr:rowOff>85725</xdr:rowOff>
    </xdr:to>
    <xdr:sp>
      <xdr:nvSpPr>
        <xdr:cNvPr id="4" name="Rectangle 28"/>
        <xdr:cNvSpPr>
          <a:spLocks/>
        </xdr:cNvSpPr>
      </xdr:nvSpPr>
      <xdr:spPr>
        <a:xfrm>
          <a:off x="5829300" y="4705350"/>
          <a:ext cx="4352925" cy="57150"/>
        </a:xfrm>
        <a:prstGeom prst="rect">
          <a:avLst/>
        </a:prstGeom>
        <a:solidFill>
          <a:srgbClr val="808080"/>
        </a:solidFill>
        <a:ln w="1"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314325</xdr:colOff>
      <xdr:row>24</xdr:row>
      <xdr:rowOff>104775</xdr:rowOff>
    </xdr:from>
    <xdr:to>
      <xdr:col>13</xdr:col>
      <xdr:colOff>28575</xdr:colOff>
      <xdr:row>24</xdr:row>
      <xdr:rowOff>104775</xdr:rowOff>
    </xdr:to>
    <xdr:sp>
      <xdr:nvSpPr>
        <xdr:cNvPr id="5" name="Line 38"/>
        <xdr:cNvSpPr>
          <a:spLocks/>
        </xdr:cNvSpPr>
      </xdr:nvSpPr>
      <xdr:spPr>
        <a:xfrm>
          <a:off x="6067425" y="4095750"/>
          <a:ext cx="3429000" cy="0"/>
        </a:xfrm>
        <a:prstGeom prst="line">
          <a:avLst/>
        </a:prstGeom>
        <a:noFill/>
        <a:ln w="1"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0</xdr:colOff>
      <xdr:row>22</xdr:row>
      <xdr:rowOff>114300</xdr:rowOff>
    </xdr:from>
    <xdr:to>
      <xdr:col>14</xdr:col>
      <xdr:colOff>0</xdr:colOff>
      <xdr:row>34</xdr:row>
      <xdr:rowOff>114300</xdr:rowOff>
    </xdr:to>
    <xdr:sp>
      <xdr:nvSpPr>
        <xdr:cNvPr id="6" name="Line 39"/>
        <xdr:cNvSpPr>
          <a:spLocks/>
        </xdr:cNvSpPr>
      </xdr:nvSpPr>
      <xdr:spPr>
        <a:xfrm>
          <a:off x="10229850" y="3752850"/>
          <a:ext cx="0"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7</xdr:col>
      <xdr:colOff>9525</xdr:colOff>
      <xdr:row>14</xdr:row>
      <xdr:rowOff>19050</xdr:rowOff>
    </xdr:from>
    <xdr:to>
      <xdr:col>7</xdr:col>
      <xdr:colOff>723900</xdr:colOff>
      <xdr:row>16</xdr:row>
      <xdr:rowOff>152400</xdr:rowOff>
    </xdr:to>
    <xdr:grpSp>
      <xdr:nvGrpSpPr>
        <xdr:cNvPr id="7" name="Group 123"/>
        <xdr:cNvGrpSpPr>
          <a:grpSpLocks/>
        </xdr:cNvGrpSpPr>
      </xdr:nvGrpSpPr>
      <xdr:grpSpPr>
        <a:xfrm>
          <a:off x="5029200" y="2228850"/>
          <a:ext cx="714375" cy="533400"/>
          <a:chOff x="596" y="296"/>
          <a:chExt cx="85" cy="69"/>
        </a:xfrm>
        <a:solidFill>
          <a:srgbClr val="FFFFFF"/>
        </a:solidFill>
      </xdr:grpSpPr>
      <xdr:sp>
        <xdr:nvSpPr>
          <xdr:cNvPr id="8" name="Line 112"/>
          <xdr:cNvSpPr>
            <a:spLocks/>
          </xdr:cNvSpPr>
        </xdr:nvSpPr>
        <xdr:spPr>
          <a:xfrm>
            <a:off x="607" y="311"/>
            <a:ext cx="74" cy="0"/>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9" name="Line 113"/>
          <xdr:cNvSpPr>
            <a:spLocks/>
          </xdr:cNvSpPr>
        </xdr:nvSpPr>
        <xdr:spPr>
          <a:xfrm flipH="1">
            <a:off x="607" y="313"/>
            <a:ext cx="0" cy="52"/>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0" name="Text 328"/>
          <xdr:cNvSpPr txBox="1">
            <a:spLocks noChangeArrowheads="1"/>
          </xdr:cNvSpPr>
        </xdr:nvSpPr>
        <xdr:spPr>
          <a:xfrm>
            <a:off x="632" y="296"/>
            <a:ext cx="21" cy="25"/>
          </a:xfrm>
          <a:prstGeom prst="rect">
            <a:avLst/>
          </a:prstGeom>
          <a:solidFill>
            <a:srgbClr val="E3E3E3"/>
          </a:solidFill>
          <a:ln w="1" cmpd="sng">
            <a:noFill/>
          </a:ln>
        </xdr:spPr>
        <xdr:txBody>
          <a:bodyPr vertOverflow="clip" wrap="square" lIns="27432" tIns="18288" rIns="0" bIns="0"/>
          <a:p>
            <a:pPr algn="l">
              <a:defRPr/>
            </a:pPr>
            <a:r>
              <a:rPr lang="en-US" cap="none" sz="900" b="0" i="0" u="none" baseline="0">
                <a:solidFill>
                  <a:srgbClr val="000000"/>
                </a:solidFill>
                <a:latin typeface="Geneva"/>
                <a:ea typeface="Geneva"/>
                <a:cs typeface="Geneva"/>
              </a:rPr>
              <a:t>L</a:t>
            </a:r>
          </a:p>
        </xdr:txBody>
      </xdr:sp>
      <xdr:sp>
        <xdr:nvSpPr>
          <xdr:cNvPr id="11" name="Text 329"/>
          <xdr:cNvSpPr txBox="1">
            <a:spLocks noChangeArrowheads="1"/>
          </xdr:cNvSpPr>
        </xdr:nvSpPr>
        <xdr:spPr>
          <a:xfrm>
            <a:off x="596" y="328"/>
            <a:ext cx="21" cy="20"/>
          </a:xfrm>
          <a:prstGeom prst="rect">
            <a:avLst/>
          </a:prstGeom>
          <a:solidFill>
            <a:srgbClr val="E3E3E3"/>
          </a:solidFill>
          <a:ln w="1" cmpd="sng">
            <a:noFill/>
          </a:ln>
        </xdr:spPr>
        <xdr:txBody>
          <a:bodyPr vertOverflow="clip" wrap="square" lIns="27432" tIns="22860" rIns="0" bIns="0"/>
          <a:p>
            <a:pPr algn="l">
              <a:defRPr/>
            </a:pPr>
            <a:r>
              <a:rPr lang="en-US" cap="none" sz="800" b="0" i="0" u="none" baseline="0">
                <a:solidFill>
                  <a:srgbClr val="000000"/>
                </a:solidFill>
                <a:latin typeface="Geneva"/>
                <a:ea typeface="Geneva"/>
                <a:cs typeface="Geneva"/>
              </a:rPr>
              <a:t>W</a:t>
            </a:r>
          </a:p>
        </xdr:txBody>
      </xdr:sp>
      <xdr:grpSp>
        <xdr:nvGrpSpPr>
          <xdr:cNvPr id="12" name="Group 99"/>
          <xdr:cNvGrpSpPr>
            <a:grpSpLocks/>
          </xdr:cNvGrpSpPr>
        </xdr:nvGrpSpPr>
        <xdr:grpSpPr>
          <a:xfrm>
            <a:off x="616" y="326"/>
            <a:ext cx="60" cy="26"/>
            <a:chOff x="-16984" y="-867"/>
            <a:chExt cx="30968" cy="11925"/>
          </a:xfrm>
          <a:solidFill>
            <a:srgbClr val="FFFFFF"/>
          </a:solidFill>
        </xdr:grpSpPr>
        <xdr:sp>
          <xdr:nvSpPr>
            <xdr:cNvPr id="13" name="Oval 100"/>
            <xdr:cNvSpPr>
              <a:spLocks/>
            </xdr:cNvSpPr>
          </xdr:nvSpPr>
          <xdr:spPr>
            <a:xfrm>
              <a:off x="-16984" y="-867"/>
              <a:ext cx="9407" cy="11925"/>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nvGrpSpPr>
            <xdr:cNvPr id="14" name="Group 101"/>
            <xdr:cNvGrpSpPr>
              <a:grpSpLocks/>
            </xdr:cNvGrpSpPr>
          </xdr:nvGrpSpPr>
          <xdr:grpSpPr>
            <a:xfrm>
              <a:off x="-16984" y="-867"/>
              <a:ext cx="30968" cy="11925"/>
              <a:chOff x="775" y="106"/>
              <a:chExt cx="79" cy="25"/>
            </a:xfrm>
            <a:solidFill>
              <a:srgbClr val="FFFFFF"/>
            </a:solidFill>
          </xdr:grpSpPr>
          <xdr:grpSp>
            <xdr:nvGrpSpPr>
              <xdr:cNvPr id="15" name="Group 102"/>
              <xdr:cNvGrpSpPr>
                <a:grpSpLocks/>
              </xdr:cNvGrpSpPr>
            </xdr:nvGrpSpPr>
            <xdr:grpSpPr>
              <a:xfrm>
                <a:off x="789" y="106"/>
                <a:ext cx="65" cy="25"/>
                <a:chOff x="789" y="106"/>
                <a:chExt cx="65" cy="25"/>
              </a:xfrm>
              <a:solidFill>
                <a:srgbClr val="FFFFFF"/>
              </a:solidFill>
            </xdr:grpSpPr>
          </xdr:grpSp>
          <xdr:grpSp>
            <xdr:nvGrpSpPr>
              <xdr:cNvPr id="18" name="Group 105"/>
              <xdr:cNvGrpSpPr>
                <a:grpSpLocks/>
              </xdr:cNvGrpSpPr>
            </xdr:nvGrpSpPr>
            <xdr:grpSpPr>
              <a:xfrm>
                <a:off x="775" y="112"/>
                <a:ext cx="53" cy="14"/>
                <a:chOff x="775" y="112"/>
                <a:chExt cx="53" cy="14"/>
              </a:xfrm>
              <a:solidFill>
                <a:srgbClr val="FFFFFF"/>
              </a:solidFill>
            </xdr:grpSpPr>
          </xdr:grpSp>
          <xdr:grpSp>
            <xdr:nvGrpSpPr>
              <xdr:cNvPr id="21" name="Group 108"/>
              <xdr:cNvGrpSpPr>
                <a:grpSpLocks/>
              </xdr:cNvGrpSpPr>
            </xdr:nvGrpSpPr>
            <xdr:grpSpPr>
              <a:xfrm>
                <a:off x="775" y="118"/>
                <a:ext cx="22" cy="2"/>
                <a:chOff x="775" y="118"/>
                <a:chExt cx="22" cy="2"/>
              </a:xfrm>
              <a:solidFill>
                <a:srgbClr val="FFFFFF"/>
              </a:solidFill>
            </xdr:grpSpPr>
          </xdr:grpSp>
        </xdr:grp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0</xdr:rowOff>
    </xdr:from>
    <xdr:to>
      <xdr:col>15</xdr:col>
      <xdr:colOff>247650</xdr:colOff>
      <xdr:row>0</xdr:row>
      <xdr:rowOff>0</xdr:rowOff>
    </xdr:to>
    <xdr:graphicFrame>
      <xdr:nvGraphicFramePr>
        <xdr:cNvPr id="1" name="Chart 7"/>
        <xdr:cNvGraphicFramePr/>
      </xdr:nvGraphicFramePr>
      <xdr:xfrm>
        <a:off x="2266950" y="0"/>
        <a:ext cx="8105775" cy="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0</xdr:row>
      <xdr:rowOff>0</xdr:rowOff>
    </xdr:from>
    <xdr:to>
      <xdr:col>16</xdr:col>
      <xdr:colOff>0</xdr:colOff>
      <xdr:row>0</xdr:row>
      <xdr:rowOff>0</xdr:rowOff>
    </xdr:to>
    <xdr:graphicFrame>
      <xdr:nvGraphicFramePr>
        <xdr:cNvPr id="2" name="Chart 8"/>
        <xdr:cNvGraphicFramePr/>
      </xdr:nvGraphicFramePr>
      <xdr:xfrm>
        <a:off x="2743200" y="0"/>
        <a:ext cx="8048625" cy="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19</xdr:row>
      <xdr:rowOff>85725</xdr:rowOff>
    </xdr:from>
    <xdr:to>
      <xdr:col>7</xdr:col>
      <xdr:colOff>571500</xdr:colOff>
      <xdr:row>35</xdr:row>
      <xdr:rowOff>57150</xdr:rowOff>
    </xdr:to>
    <xdr:graphicFrame>
      <xdr:nvGraphicFramePr>
        <xdr:cNvPr id="3" name="Chart 9"/>
        <xdr:cNvGraphicFramePr/>
      </xdr:nvGraphicFramePr>
      <xdr:xfrm>
        <a:off x="133350" y="2828925"/>
        <a:ext cx="5248275" cy="3209925"/>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6</xdr:row>
      <xdr:rowOff>9525</xdr:rowOff>
    </xdr:from>
    <xdr:to>
      <xdr:col>1</xdr:col>
      <xdr:colOff>200025</xdr:colOff>
      <xdr:row>6</xdr:row>
      <xdr:rowOff>133350</xdr:rowOff>
    </xdr:to>
    <xdr:sp>
      <xdr:nvSpPr>
        <xdr:cNvPr id="4" name="Line 10"/>
        <xdr:cNvSpPr>
          <a:spLocks/>
        </xdr:cNvSpPr>
      </xdr:nvSpPr>
      <xdr:spPr>
        <a:xfrm>
          <a:off x="295275" y="990600"/>
          <a:ext cx="0" cy="12382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114300</xdr:rowOff>
    </xdr:from>
    <xdr:to>
      <xdr:col>16</xdr:col>
      <xdr:colOff>866775</xdr:colOff>
      <xdr:row>55</xdr:row>
      <xdr:rowOff>95250</xdr:rowOff>
    </xdr:to>
    <xdr:graphicFrame>
      <xdr:nvGraphicFramePr>
        <xdr:cNvPr id="1" name="Chart 11"/>
        <xdr:cNvGraphicFramePr/>
      </xdr:nvGraphicFramePr>
      <xdr:xfrm>
        <a:off x="123825" y="4591050"/>
        <a:ext cx="10315575" cy="3762375"/>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16</xdr:row>
      <xdr:rowOff>19050</xdr:rowOff>
    </xdr:from>
    <xdr:to>
      <xdr:col>14</xdr:col>
      <xdr:colOff>742950</xdr:colOff>
      <xdr:row>19</xdr:row>
      <xdr:rowOff>85725</xdr:rowOff>
    </xdr:to>
    <xdr:sp>
      <xdr:nvSpPr>
        <xdr:cNvPr id="2" name="Line 14"/>
        <xdr:cNvSpPr>
          <a:spLocks/>
        </xdr:cNvSpPr>
      </xdr:nvSpPr>
      <xdr:spPr>
        <a:xfrm flipH="1">
          <a:off x="7334250" y="2209800"/>
          <a:ext cx="142875"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1162050</xdr:colOff>
      <xdr:row>16</xdr:row>
      <xdr:rowOff>28575</xdr:rowOff>
    </xdr:from>
    <xdr:to>
      <xdr:col>16</xdr:col>
      <xdr:colOff>9525</xdr:colOff>
      <xdr:row>19</xdr:row>
      <xdr:rowOff>57150</xdr:rowOff>
    </xdr:to>
    <xdr:sp>
      <xdr:nvSpPr>
        <xdr:cNvPr id="3" name="Line 23"/>
        <xdr:cNvSpPr>
          <a:spLocks/>
        </xdr:cNvSpPr>
      </xdr:nvSpPr>
      <xdr:spPr>
        <a:xfrm>
          <a:off x="9458325" y="2209800"/>
          <a:ext cx="123825" cy="2190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xdr:col>
      <xdr:colOff>66675</xdr:colOff>
      <xdr:row>59</xdr:row>
      <xdr:rowOff>38100</xdr:rowOff>
    </xdr:from>
    <xdr:to>
      <xdr:col>16</xdr:col>
      <xdr:colOff>866775</xdr:colOff>
      <xdr:row>91</xdr:row>
      <xdr:rowOff>47625</xdr:rowOff>
    </xdr:to>
    <xdr:graphicFrame>
      <xdr:nvGraphicFramePr>
        <xdr:cNvPr id="4" name="Chart 32"/>
        <xdr:cNvGraphicFramePr/>
      </xdr:nvGraphicFramePr>
      <xdr:xfrm>
        <a:off x="114300" y="9029700"/>
        <a:ext cx="10325100" cy="3895725"/>
      </xdr:xfrm>
      <a:graphic>
        <a:graphicData uri="http://schemas.openxmlformats.org/drawingml/2006/chart">
          <c:chart xmlns:c="http://schemas.openxmlformats.org/drawingml/2006/chart" r:id="rId2"/>
        </a:graphicData>
      </a:graphic>
    </xdr:graphicFrame>
    <xdr:clientData/>
  </xdr:twoCellAnchor>
  <xdr:twoCellAnchor>
    <xdr:from>
      <xdr:col>11</xdr:col>
      <xdr:colOff>76200</xdr:colOff>
      <xdr:row>2</xdr:row>
      <xdr:rowOff>114300</xdr:rowOff>
    </xdr:from>
    <xdr:to>
      <xdr:col>14</xdr:col>
      <xdr:colOff>752475</xdr:colOff>
      <xdr:row>4</xdr:row>
      <xdr:rowOff>19050</xdr:rowOff>
    </xdr:to>
    <xdr:grpSp>
      <xdr:nvGrpSpPr>
        <xdr:cNvPr id="5" name="Group 19"/>
        <xdr:cNvGrpSpPr>
          <a:grpSpLocks/>
        </xdr:cNvGrpSpPr>
      </xdr:nvGrpSpPr>
      <xdr:grpSpPr>
        <a:xfrm>
          <a:off x="4829175" y="523875"/>
          <a:ext cx="2667000" cy="276225"/>
          <a:chOff x="542" y="82"/>
          <a:chExt cx="293" cy="36"/>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12</xdr:col>
      <xdr:colOff>381000</xdr:colOff>
      <xdr:row>69</xdr:row>
      <xdr:rowOff>133350</xdr:rowOff>
    </xdr:to>
    <xdr:pic>
      <xdr:nvPicPr>
        <xdr:cNvPr id="1" name="Picture 17"/>
        <xdr:cNvPicPr preferRelativeResize="1">
          <a:picLocks noChangeAspect="1"/>
        </xdr:cNvPicPr>
      </xdr:nvPicPr>
      <xdr:blipFill>
        <a:blip r:embed="rId1"/>
        <a:stretch>
          <a:fillRect/>
        </a:stretch>
      </xdr:blipFill>
      <xdr:spPr>
        <a:xfrm>
          <a:off x="123825" y="352425"/>
          <a:ext cx="8372475" cy="10791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athens/learn2model/part-two/onsite/gradient4plus-ns.htm" TargetMode="External" /><Relationship Id="rId2" Type="http://schemas.openxmlformats.org/officeDocument/2006/relationships/hyperlink" Target="http://www.epa.gov/athens/learn2model/part-two/onsite/longdisp.htm" TargetMode="External" /><Relationship Id="rId3" Type="http://schemas.openxmlformats.org/officeDocument/2006/relationships/hyperlink" Target="http://www.epa.gov/athens/learn2model/part-two/onsite/retard.htm" TargetMode="External" /><Relationship Id="rId4" Type="http://schemas.openxmlformats.org/officeDocument/2006/relationships/hyperlink" Target="http://www.epa.gov/athens/learn2model/part-two/onsite/seepage.htm" TargetMode="External" /><Relationship Id="rId5" Type="http://schemas.openxmlformats.org/officeDocument/2006/relationships/hyperlink" Target="http://www.epa.gov/athens/learn2model/part-two/onsite/conductivity.htm" TargetMode="External" /><Relationship Id="rId6" Type="http://schemas.openxmlformats.org/officeDocument/2006/relationships/hyperlink" Target="http://www.epa.gov/athens/learn2model/part-two/onsite/longdisp.htm" TargetMode="External" /><Relationship Id="rId7" Type="http://schemas.openxmlformats.org/officeDocument/2006/relationships/hyperlink" Target="http://www.epa.gov/ada/csmos/models/bioscrn.html" TargetMode="External" /><Relationship Id="rId8" Type="http://schemas.openxmlformats.org/officeDocument/2006/relationships/comments" Target="../comments4.xml" /><Relationship Id="rId9" Type="http://schemas.openxmlformats.org/officeDocument/2006/relationships/vmlDrawing" Target="../drawings/vmlDrawing4.v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L29"/>
  <sheetViews>
    <sheetView showGridLines="0" showRowColHeaders="0" zoomScale="120" zoomScaleNormal="120" zoomScalePageLayoutView="0" workbookViewId="0" topLeftCell="A1">
      <selection activeCell="A1" sqref="A1:I1"/>
    </sheetView>
  </sheetViews>
  <sheetFormatPr defaultColWidth="9.00390625" defaultRowHeight="12.75"/>
  <cols>
    <col min="1" max="1" width="2.125" style="715" customWidth="1"/>
    <col min="2" max="2" width="4.875" style="151" customWidth="1"/>
    <col min="3" max="3" width="14.375" style="151" customWidth="1"/>
    <col min="4" max="4" width="24.00390625" style="151" customWidth="1"/>
    <col min="5" max="5" width="25.50390625" style="151" customWidth="1"/>
    <col min="6" max="6" width="26.875" style="151" customWidth="1"/>
    <col min="7" max="7" width="8.875" style="151" customWidth="1"/>
    <col min="8" max="8" width="4.125" style="151" customWidth="1"/>
    <col min="9" max="9" width="5.625" style="151" customWidth="1"/>
    <col min="10" max="10" width="4.50390625" style="151" customWidth="1"/>
    <col min="11" max="16384" width="8.875" style="151" customWidth="1"/>
  </cols>
  <sheetData>
    <row r="1" spans="1:12" ht="13.5" thickBot="1">
      <c r="A1" s="150"/>
      <c r="B1" s="150"/>
      <c r="C1" s="150"/>
      <c r="D1" s="150"/>
      <c r="E1" s="150"/>
      <c r="F1" s="150"/>
      <c r="G1" s="150"/>
      <c r="H1" s="150"/>
      <c r="I1" s="150"/>
      <c r="J1" s="150"/>
      <c r="K1" s="150"/>
      <c r="L1" s="150"/>
    </row>
    <row r="2" spans="1:12" ht="13.5" thickBot="1">
      <c r="A2" s="150"/>
      <c r="B2" s="167"/>
      <c r="C2" s="168"/>
      <c r="D2" s="168"/>
      <c r="E2" s="168"/>
      <c r="F2" s="168"/>
      <c r="G2" s="168"/>
      <c r="H2" s="169"/>
      <c r="I2" s="150"/>
      <c r="J2" s="150"/>
      <c r="K2" s="150"/>
      <c r="L2" s="150"/>
    </row>
    <row r="3" spans="1:12" ht="3.75" customHeight="1" thickTop="1">
      <c r="A3" s="150"/>
      <c r="B3" s="170"/>
      <c r="C3" s="175"/>
      <c r="D3" s="176"/>
      <c r="E3" s="176"/>
      <c r="F3" s="176"/>
      <c r="G3" s="177"/>
      <c r="H3" s="171"/>
      <c r="I3" s="150"/>
      <c r="J3" s="150"/>
      <c r="K3" s="150"/>
      <c r="L3" s="150"/>
    </row>
    <row r="4" spans="1:12" ht="17.25" customHeight="1">
      <c r="A4" s="150"/>
      <c r="B4" s="170"/>
      <c r="C4" s="178"/>
      <c r="D4" s="152"/>
      <c r="E4" s="153" t="s">
        <v>470</v>
      </c>
      <c r="F4" s="154"/>
      <c r="G4" s="179"/>
      <c r="H4" s="171"/>
      <c r="I4" s="150"/>
      <c r="J4" s="150"/>
      <c r="K4" s="150"/>
      <c r="L4" s="150"/>
    </row>
    <row r="5" spans="1:12" ht="4.5" customHeight="1" hidden="1">
      <c r="A5" s="150"/>
      <c r="B5" s="170"/>
      <c r="C5" s="178"/>
      <c r="D5" s="154"/>
      <c r="E5" s="155"/>
      <c r="F5" s="154"/>
      <c r="G5" s="179"/>
      <c r="H5" s="171"/>
      <c r="I5" s="150"/>
      <c r="J5" s="150"/>
      <c r="K5" s="150"/>
      <c r="L5" s="150"/>
    </row>
    <row r="6" spans="1:12" ht="13.5" customHeight="1" thickBot="1">
      <c r="A6" s="150"/>
      <c r="B6" s="170"/>
      <c r="C6" s="1289" t="s">
        <v>710</v>
      </c>
      <c r="D6" s="1290"/>
      <c r="E6" s="1290"/>
      <c r="F6" s="1290"/>
      <c r="G6" s="1291"/>
      <c r="H6" s="171"/>
      <c r="I6" s="150"/>
      <c r="J6" s="150"/>
      <c r="K6" s="150"/>
      <c r="L6" s="150"/>
    </row>
    <row r="7" spans="1:12" ht="17.25" customHeight="1" thickTop="1">
      <c r="A7" s="150"/>
      <c r="B7" s="170"/>
      <c r="C7" s="156"/>
      <c r="D7" s="157"/>
      <c r="E7" s="158"/>
      <c r="F7" s="159"/>
      <c r="G7" s="160"/>
      <c r="H7" s="171"/>
      <c r="I7" s="150"/>
      <c r="J7" s="150"/>
      <c r="K7" s="150"/>
      <c r="L7" s="150"/>
    </row>
    <row r="8" spans="1:12" ht="12.75">
      <c r="A8" s="150"/>
      <c r="B8" s="170"/>
      <c r="C8" s="156"/>
      <c r="D8" s="157"/>
      <c r="E8" s="155"/>
      <c r="F8" s="159"/>
      <c r="G8" s="160"/>
      <c r="H8" s="171"/>
      <c r="I8" s="150"/>
      <c r="J8" s="150"/>
      <c r="K8" s="150"/>
      <c r="L8" s="150"/>
    </row>
    <row r="9" spans="1:12" ht="16.5" customHeight="1">
      <c r="A9" s="150"/>
      <c r="B9" s="170"/>
      <c r="C9" s="156"/>
      <c r="D9" s="161"/>
      <c r="E9" s="162"/>
      <c r="F9" s="159"/>
      <c r="G9" s="160"/>
      <c r="H9" s="171"/>
      <c r="I9" s="150"/>
      <c r="J9" s="150"/>
      <c r="K9" s="150"/>
      <c r="L9" s="150"/>
    </row>
    <row r="10" spans="1:12" ht="12.75">
      <c r="A10" s="150"/>
      <c r="B10" s="170"/>
      <c r="C10" s="156"/>
      <c r="D10" s="157"/>
      <c r="E10" s="155"/>
      <c r="F10" s="159"/>
      <c r="G10" s="160"/>
      <c r="H10" s="171"/>
      <c r="I10" s="150"/>
      <c r="J10" s="150"/>
      <c r="K10" s="150"/>
      <c r="L10" s="150"/>
    </row>
    <row r="11" spans="1:12" ht="39.75" customHeight="1">
      <c r="A11" s="150"/>
      <c r="B11" s="170"/>
      <c r="C11" s="163"/>
      <c r="D11" s="159"/>
      <c r="E11" s="159"/>
      <c r="F11" s="159"/>
      <c r="G11" s="160"/>
      <c r="H11" s="171"/>
      <c r="I11" s="150"/>
      <c r="J11" s="150"/>
      <c r="K11" s="150"/>
      <c r="L11" s="150"/>
    </row>
    <row r="12" spans="1:12" ht="17.25" customHeight="1">
      <c r="A12" s="150"/>
      <c r="B12" s="170"/>
      <c r="C12" s="163"/>
      <c r="D12" s="159"/>
      <c r="E12" s="159"/>
      <c r="F12" s="159"/>
      <c r="G12" s="160"/>
      <c r="H12" s="171"/>
      <c r="I12" s="150"/>
      <c r="J12" s="150"/>
      <c r="K12" s="150"/>
      <c r="L12" s="150"/>
    </row>
    <row r="13" spans="1:12" ht="66.75" customHeight="1">
      <c r="A13" s="150"/>
      <c r="B13" s="170"/>
      <c r="C13" s="164"/>
      <c r="D13" s="159"/>
      <c r="E13" s="159"/>
      <c r="F13" s="159"/>
      <c r="G13" s="160"/>
      <c r="H13" s="171"/>
      <c r="I13" s="150"/>
      <c r="J13" s="150"/>
      <c r="K13" s="150"/>
      <c r="L13" s="150"/>
    </row>
    <row r="14" spans="1:12" ht="12.75" customHeight="1" hidden="1">
      <c r="A14" s="150"/>
      <c r="B14" s="170"/>
      <c r="C14" s="164"/>
      <c r="D14" s="159"/>
      <c r="E14" s="159"/>
      <c r="F14" s="159"/>
      <c r="G14" s="160"/>
      <c r="H14" s="171"/>
      <c r="I14" s="150"/>
      <c r="J14" s="150"/>
      <c r="K14" s="150"/>
      <c r="L14" s="150"/>
    </row>
    <row r="15" spans="1:12" ht="22.5" customHeight="1" hidden="1">
      <c r="A15" s="150"/>
      <c r="B15" s="170"/>
      <c r="C15" s="164"/>
      <c r="D15" s="159"/>
      <c r="E15" s="159"/>
      <c r="F15" s="159"/>
      <c r="G15" s="160"/>
      <c r="H15" s="171"/>
      <c r="I15" s="150"/>
      <c r="J15" s="150"/>
      <c r="K15" s="150"/>
      <c r="L15" s="150"/>
    </row>
    <row r="16" spans="1:12" ht="6" customHeight="1">
      <c r="A16" s="150"/>
      <c r="B16" s="170"/>
      <c r="C16" s="165"/>
      <c r="D16" s="159"/>
      <c r="E16" s="166"/>
      <c r="F16" s="159"/>
      <c r="G16" s="160"/>
      <c r="H16" s="171"/>
      <c r="I16" s="150"/>
      <c r="J16" s="150"/>
      <c r="K16" s="150"/>
      <c r="L16" s="150"/>
    </row>
    <row r="17" spans="1:12" ht="12.75" customHeight="1">
      <c r="A17" s="150"/>
      <c r="B17" s="170"/>
      <c r="C17" s="165"/>
      <c r="D17" s="159"/>
      <c r="E17" s="166"/>
      <c r="F17" s="159"/>
      <c r="G17" s="160"/>
      <c r="H17" s="171"/>
      <c r="I17" s="150"/>
      <c r="J17" s="150"/>
      <c r="K17" s="150"/>
      <c r="L17" s="150"/>
    </row>
    <row r="18" spans="1:12" ht="20.25" customHeight="1" thickBot="1">
      <c r="A18" s="150"/>
      <c r="B18" s="170"/>
      <c r="C18" s="165"/>
      <c r="D18" s="159"/>
      <c r="E18" s="166"/>
      <c r="F18" s="159"/>
      <c r="G18" s="160"/>
      <c r="H18" s="171"/>
      <c r="I18" s="150"/>
      <c r="J18" s="150"/>
      <c r="K18" s="150"/>
      <c r="L18" s="150"/>
    </row>
    <row r="19" spans="1:12" ht="14.25" thickBot="1" thickTop="1">
      <c r="A19" s="150"/>
      <c r="B19" s="170"/>
      <c r="C19" s="1292" t="s">
        <v>714</v>
      </c>
      <c r="D19" s="1293"/>
      <c r="E19" s="1293"/>
      <c r="F19" s="1293"/>
      <c r="G19" s="1294"/>
      <c r="H19" s="171"/>
      <c r="I19" s="150"/>
      <c r="J19" s="150"/>
      <c r="K19" s="150"/>
      <c r="L19" s="150"/>
    </row>
    <row r="20" spans="1:12" ht="10.5" customHeight="1" thickBot="1">
      <c r="A20" s="150"/>
      <c r="B20" s="172"/>
      <c r="C20" s="173"/>
      <c r="D20" s="173"/>
      <c r="E20" s="173"/>
      <c r="F20" s="173"/>
      <c r="G20" s="173"/>
      <c r="H20" s="174"/>
      <c r="I20" s="150"/>
      <c r="J20" s="150"/>
      <c r="K20" s="150"/>
      <c r="L20" s="150"/>
    </row>
    <row r="21" spans="1:12" ht="12.75">
      <c r="A21" s="150"/>
      <c r="B21" s="150"/>
      <c r="C21" s="150"/>
      <c r="D21" s="150"/>
      <c r="E21" s="150"/>
      <c r="F21" s="150"/>
      <c r="G21" s="150"/>
      <c r="H21" s="150"/>
      <c r="I21" s="150"/>
      <c r="J21" s="150"/>
      <c r="K21" s="150"/>
      <c r="L21" s="150"/>
    </row>
    <row r="22" spans="1:12" ht="12.75">
      <c r="A22" s="150"/>
      <c r="B22" s="150"/>
      <c r="C22" s="150"/>
      <c r="D22" s="150"/>
      <c r="E22" s="150"/>
      <c r="F22" s="150"/>
      <c r="G22" s="150"/>
      <c r="H22" s="150"/>
      <c r="I22" s="150"/>
      <c r="J22" s="150"/>
      <c r="K22" s="150"/>
      <c r="L22" s="150"/>
    </row>
    <row r="23" spans="1:12" ht="1.5" customHeight="1">
      <c r="A23" s="150"/>
      <c r="B23" s="150"/>
      <c r="C23" s="150"/>
      <c r="D23" s="150"/>
      <c r="E23" s="150"/>
      <c r="F23" s="150"/>
      <c r="G23" s="150"/>
      <c r="H23" s="150"/>
      <c r="I23" s="150"/>
      <c r="J23" s="150"/>
      <c r="K23" s="150"/>
      <c r="L23" s="150"/>
    </row>
    <row r="24" spans="1:12" ht="12.75">
      <c r="A24" s="150"/>
      <c r="B24" s="150"/>
      <c r="C24" s="150"/>
      <c r="D24" s="150"/>
      <c r="E24" s="150"/>
      <c r="F24" s="150"/>
      <c r="G24" s="150"/>
      <c r="H24" s="150"/>
      <c r="I24" s="150"/>
      <c r="J24" s="150"/>
      <c r="K24" s="150"/>
      <c r="L24" s="150"/>
    </row>
    <row r="25" spans="1:12" ht="12.75">
      <c r="A25" s="150"/>
      <c r="B25" s="150"/>
      <c r="C25" s="150"/>
      <c r="D25" s="150"/>
      <c r="E25" s="150"/>
      <c r="F25" s="150"/>
      <c r="G25" s="150"/>
      <c r="H25" s="150"/>
      <c r="I25" s="150"/>
      <c r="J25" s="150"/>
      <c r="K25" s="150"/>
      <c r="L25" s="150"/>
    </row>
    <row r="26" spans="1:12" ht="12.75">
      <c r="A26" s="150"/>
      <c r="B26" s="150"/>
      <c r="C26" s="150"/>
      <c r="D26" s="150"/>
      <c r="E26" s="150"/>
      <c r="F26" s="150"/>
      <c r="G26" s="150"/>
      <c r="H26" s="150"/>
      <c r="I26" s="150"/>
      <c r="J26" s="150"/>
      <c r="K26" s="150"/>
      <c r="L26" s="150"/>
    </row>
    <row r="27" spans="1:12" ht="12.75">
      <c r="A27" s="150"/>
      <c r="B27" s="150"/>
      <c r="C27" s="150"/>
      <c r="D27" s="150"/>
      <c r="E27" s="150"/>
      <c r="F27" s="150"/>
      <c r="G27" s="150"/>
      <c r="H27" s="150"/>
      <c r="I27" s="150"/>
      <c r="J27" s="150"/>
      <c r="K27" s="150"/>
      <c r="L27" s="150"/>
    </row>
    <row r="28" spans="1:12" ht="12.75">
      <c r="A28" s="150"/>
      <c r="B28" s="150"/>
      <c r="C28" s="150"/>
      <c r="D28" s="150"/>
      <c r="E28" s="150"/>
      <c r="F28" s="150"/>
      <c r="G28" s="150"/>
      <c r="H28" s="150"/>
      <c r="I28" s="150"/>
      <c r="J28" s="150"/>
      <c r="K28" s="150"/>
      <c r="L28" s="150"/>
    </row>
    <row r="29" spans="1:12" ht="12.75">
      <c r="A29" s="150"/>
      <c r="B29" s="150"/>
      <c r="C29" s="150"/>
      <c r="D29" s="150"/>
      <c r="E29" s="150"/>
      <c r="F29" s="150"/>
      <c r="G29" s="150"/>
      <c r="H29" s="150"/>
      <c r="I29" s="150"/>
      <c r="J29" s="150"/>
      <c r="K29" s="150"/>
      <c r="L29" s="150"/>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&amp;L&amp;8Washington State Department of Ecology, Toxics Cleanup Program&amp;R&amp;D</oddHead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showGridLines="0" showRowColHeaders="0" zoomScale="73" zoomScaleNormal="73" zoomScalePageLayoutView="0" workbookViewId="0" topLeftCell="A2">
      <selection activeCell="A1" sqref="A1"/>
    </sheetView>
  </sheetViews>
  <sheetFormatPr defaultColWidth="9.00390625" defaultRowHeight="12.75"/>
  <cols>
    <col min="1" max="19" width="8.875" style="855" customWidth="1"/>
    <col min="20" max="20" width="12.625" style="855" customWidth="1"/>
    <col min="21" max="16384" width="8.875" style="855"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123" ht="36" customHeight="1"/>
  </sheetData>
  <sheetProtection/>
  <printOptions horizontalCentered="1" verticalCentered="1"/>
  <pageMargins left="0.5" right="0.17" top="0.52" bottom="0.65" header="0.5" footer="0.5"/>
  <pageSetup blackAndWhite="1" fitToHeight="1" fitToWidth="1" horizontalDpi="600" verticalDpi="600" orientation="portrait" scale="65" r:id="rId3"/>
  <headerFooter alignWithMargins="0">
    <oddHeader>&amp;R&amp;D</oddHeader>
  </headerFooter>
  <drawing r:id="rId2"/>
  <legacy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P192"/>
  <sheetViews>
    <sheetView showGridLines="0" showRowColHeaders="0" zoomScale="112" zoomScaleNormal="112" zoomScalePageLayoutView="0" workbookViewId="0" topLeftCell="A1">
      <selection activeCell="J7" sqref="J7"/>
    </sheetView>
  </sheetViews>
  <sheetFormatPr defaultColWidth="9.00390625" defaultRowHeight="12.75"/>
  <cols>
    <col min="1" max="1" width="2.00390625" style="525" customWidth="1"/>
    <col min="2" max="2" width="28.75390625" style="525" customWidth="1"/>
    <col min="3" max="3" width="7.50390625" style="525" customWidth="1"/>
    <col min="4" max="4" width="11.125" style="525" customWidth="1"/>
    <col min="5" max="5" width="9.375" style="525" customWidth="1"/>
    <col min="6" max="6" width="3.625" style="525" customWidth="1"/>
    <col min="7" max="7" width="9.375" style="525" customWidth="1"/>
    <col min="8" max="8" width="13.75390625" style="525" customWidth="1"/>
    <col min="9" max="9" width="9.375" style="525" customWidth="1"/>
    <col min="10" max="10" width="12.25390625" style="525" customWidth="1"/>
    <col min="11" max="11" width="7.50390625" style="525" customWidth="1"/>
    <col min="12" max="12" width="10.25390625" style="525" customWidth="1"/>
    <col min="13" max="13" width="7.50390625" style="525" customWidth="1"/>
    <col min="14" max="14" width="9.50390625" style="525" customWidth="1"/>
    <col min="15" max="15" width="8.00390625" style="525" customWidth="1"/>
    <col min="16" max="16" width="11.25390625" style="525" customWidth="1"/>
    <col min="17" max="17" width="9.50390625" style="525" customWidth="1"/>
    <col min="18" max="16384" width="8.875" style="525" customWidth="1"/>
  </cols>
  <sheetData>
    <row r="1" spans="1:12" s="524" customFormat="1" ht="16.5" customHeight="1">
      <c r="A1" s="342"/>
      <c r="B1" s="712" t="s">
        <v>674</v>
      </c>
      <c r="C1" s="326"/>
      <c r="D1" s="342"/>
      <c r="E1" s="342"/>
      <c r="F1" s="342"/>
      <c r="G1" s="342"/>
      <c r="H1" s="292" t="s">
        <v>265</v>
      </c>
      <c r="I1" s="340" t="str">
        <f>site_name</f>
        <v>Dummy XYZ site</v>
      </c>
      <c r="J1" s="342"/>
      <c r="K1" s="342"/>
      <c r="L1" s="342"/>
    </row>
    <row r="2" spans="1:12" s="524" customFormat="1" ht="15" customHeight="1" thickBot="1">
      <c r="A2" s="1132"/>
      <c r="B2" s="476"/>
      <c r="C2" s="555" t="s">
        <v>696</v>
      </c>
      <c r="D2" s="476"/>
      <c r="E2" s="476"/>
      <c r="F2" s="476"/>
      <c r="G2" s="476"/>
      <c r="H2" s="293" t="s">
        <v>338</v>
      </c>
      <c r="I2" s="341" t="str">
        <f>site_address</f>
        <v>1234, Olympia, WA 98501</v>
      </c>
      <c r="J2" s="476"/>
      <c r="K2" s="476"/>
      <c r="L2" s="476"/>
    </row>
    <row r="3" spans="1:12" s="524" customFormat="1" ht="16.5" customHeight="1" thickTop="1">
      <c r="A3" s="342"/>
      <c r="B3" s="924" t="s">
        <v>706</v>
      </c>
      <c r="C3" s="326"/>
      <c r="D3" s="342"/>
      <c r="E3" s="342"/>
      <c r="F3" s="342"/>
      <c r="G3" s="342"/>
      <c r="H3" s="342"/>
      <c r="I3" s="342"/>
      <c r="J3" s="342"/>
      <c r="K3" s="342"/>
      <c r="L3" s="342"/>
    </row>
    <row r="4" spans="1:12" ht="12.75">
      <c r="A4" s="268"/>
      <c r="B4" s="342"/>
      <c r="C4" s="342"/>
      <c r="D4" s="876"/>
      <c r="E4" s="268"/>
      <c r="F4" s="268"/>
      <c r="G4" s="268"/>
      <c r="H4" s="268"/>
      <c r="I4" s="268"/>
      <c r="J4" s="268"/>
      <c r="K4" s="268"/>
      <c r="L4" s="268"/>
    </row>
    <row r="5" spans="1:12" ht="13.5">
      <c r="A5" s="268"/>
      <c r="B5" s="342" t="str">
        <f>Input!B19</f>
        <v>Hazardous Substance:</v>
      </c>
      <c r="C5" s="342"/>
      <c r="D5" s="581" t="str">
        <f>Input!E19</f>
        <v>Benzene</v>
      </c>
      <c r="E5" s="268"/>
      <c r="F5" s="925" t="s">
        <v>521</v>
      </c>
      <c r="G5" s="301"/>
      <c r="H5" s="491"/>
      <c r="I5" s="268"/>
      <c r="J5" s="268"/>
      <c r="K5" s="268"/>
      <c r="L5" s="268"/>
    </row>
    <row r="6" spans="1:12" ht="15">
      <c r="A6" s="268"/>
      <c r="B6" s="342" t="s">
        <v>665</v>
      </c>
      <c r="C6" s="342"/>
      <c r="D6" s="947">
        <f>Vs</f>
        <v>113.81102362204727</v>
      </c>
      <c r="E6" s="268"/>
      <c r="F6" s="644" t="s">
        <v>705</v>
      </c>
      <c r="G6" s="301"/>
      <c r="H6" s="268"/>
      <c r="I6" s="325"/>
      <c r="J6" s="522">
        <v>0.9</v>
      </c>
      <c r="K6" s="268"/>
      <c r="L6" s="268"/>
    </row>
    <row r="7" spans="1:12" ht="15" customHeight="1">
      <c r="A7" s="268"/>
      <c r="B7" s="342" t="s">
        <v>628</v>
      </c>
      <c r="C7" s="342"/>
      <c r="D7" s="582">
        <f>alpha.x</f>
        <v>13.454496930271189</v>
      </c>
      <c r="E7" s="1149"/>
      <c r="F7" s="644"/>
      <c r="G7" s="268"/>
      <c r="H7" s="268"/>
      <c r="I7" s="305"/>
      <c r="J7" s="268"/>
      <c r="K7" s="268"/>
      <c r="L7" s="268"/>
    </row>
    <row r="8" spans="1:12" ht="12" customHeight="1">
      <c r="A8" s="268"/>
      <c r="B8" s="342" t="s">
        <v>669</v>
      </c>
      <c r="C8" s="342"/>
      <c r="D8" s="582">
        <f>Ret</f>
        <v>2.0540000000000003</v>
      </c>
      <c r="E8" s="268"/>
      <c r="F8" s="268"/>
      <c r="G8" s="268"/>
      <c r="H8" s="268"/>
      <c r="I8" s="268"/>
      <c r="J8" s="268"/>
      <c r="K8" s="268"/>
      <c r="L8" s="268"/>
    </row>
    <row r="9" spans="1:12" ht="13.5" customHeight="1">
      <c r="A9" s="268"/>
      <c r="B9" s="342" t="s">
        <v>697</v>
      </c>
      <c r="C9" s="342"/>
      <c r="D9" s="581">
        <f>Input!J27</f>
        <v>6500</v>
      </c>
      <c r="E9" s="268"/>
      <c r="F9" s="268"/>
      <c r="G9" s="268"/>
      <c r="H9" s="268"/>
      <c r="I9" s="268"/>
      <c r="J9" s="268"/>
      <c r="K9" s="268"/>
      <c r="L9" s="268"/>
    </row>
    <row r="10" spans="1:12" ht="5.25" customHeight="1">
      <c r="A10" s="268"/>
      <c r="B10" s="268"/>
      <c r="C10" s="268"/>
      <c r="D10" s="268"/>
      <c r="E10" s="268"/>
      <c r="F10" s="268"/>
      <c r="G10" s="268"/>
      <c r="H10" s="268"/>
      <c r="I10" s="268"/>
      <c r="J10" s="268"/>
      <c r="K10" s="268"/>
      <c r="L10" s="268"/>
    </row>
    <row r="11" spans="1:12" ht="13.5" customHeight="1" hidden="1">
      <c r="A11" s="268"/>
      <c r="B11" s="268"/>
      <c r="C11" s="268"/>
      <c r="D11" s="268"/>
      <c r="E11" s="268"/>
      <c r="F11" s="268"/>
      <c r="G11" s="268"/>
      <c r="H11" s="268"/>
      <c r="I11" s="268"/>
      <c r="J11" s="268"/>
      <c r="K11" s="268"/>
      <c r="L11" s="268"/>
    </row>
    <row r="12" spans="1:12" ht="19.5" customHeight="1">
      <c r="A12" s="268"/>
      <c r="B12" s="925" t="s">
        <v>707</v>
      </c>
      <c r="C12" s="478"/>
      <c r="D12" s="268"/>
      <c r="E12" s="268"/>
      <c r="F12" s="268"/>
      <c r="G12" s="268"/>
      <c r="H12" s="268"/>
      <c r="I12" s="268"/>
      <c r="J12" s="268"/>
      <c r="K12" s="268"/>
      <c r="L12" s="268"/>
    </row>
    <row r="13" spans="1:12" ht="15" customHeight="1">
      <c r="A13" s="268"/>
      <c r="B13" s="925" t="s">
        <v>708</v>
      </c>
      <c r="C13" s="478"/>
      <c r="D13" s="268"/>
      <c r="E13" s="268"/>
      <c r="F13" s="268"/>
      <c r="G13" s="268"/>
      <c r="H13" s="268"/>
      <c r="I13" s="268"/>
      <c r="J13" s="268"/>
      <c r="K13" s="268"/>
      <c r="L13" s="268"/>
    </row>
    <row r="14" spans="1:12" ht="13.5" thickBot="1">
      <c r="A14" s="268"/>
      <c r="B14" s="479" t="s">
        <v>630</v>
      </c>
      <c r="C14" s="479"/>
      <c r="D14" s="479"/>
      <c r="E14" s="479"/>
      <c r="F14" s="479"/>
      <c r="G14" s="479"/>
      <c r="H14" s="479"/>
      <c r="I14" s="480"/>
      <c r="J14" s="480"/>
      <c r="K14" s="268"/>
      <c r="L14" s="268"/>
    </row>
    <row r="15" spans="1:12" ht="15">
      <c r="A15" s="268"/>
      <c r="B15" s="495" t="s">
        <v>518</v>
      </c>
      <c r="C15" s="496" t="s">
        <v>522</v>
      </c>
      <c r="D15" s="497">
        <f>ABS(SLOPE(E80:O80,E85:O85))</f>
        <v>0.014958773844413227</v>
      </c>
      <c r="E15" s="498"/>
      <c r="F15" s="498"/>
      <c r="G15" s="268"/>
      <c r="H15" s="268"/>
      <c r="I15" s="268"/>
      <c r="J15" s="268"/>
      <c r="K15" s="268"/>
      <c r="L15" s="268"/>
    </row>
    <row r="16" spans="1:12" ht="15.75" thickBot="1">
      <c r="A16" s="268"/>
      <c r="B16" s="894" t="str">
        <f>"Lower Boundary Slope (@"&amp;CL_busch*100&amp;"% C.L.)"</f>
        <v>Lower Boundary Slope (@90% C.L.)</v>
      </c>
      <c r="C16" s="895" t="s">
        <v>522</v>
      </c>
      <c r="D16" s="896">
        <f>E192</f>
        <v>0.006086330160937927</v>
      </c>
      <c r="E16" s="498"/>
      <c r="F16" s="498"/>
      <c r="G16" s="268"/>
      <c r="H16" s="268"/>
      <c r="I16" s="268"/>
      <c r="J16" s="268"/>
      <c r="K16" s="268"/>
      <c r="L16" s="268"/>
    </row>
    <row r="17" spans="1:12" ht="13.5" thickBot="1">
      <c r="A17" s="268"/>
      <c r="B17" s="897" t="s">
        <v>698</v>
      </c>
      <c r="C17" s="898" t="s">
        <v>547</v>
      </c>
      <c r="D17" s="899">
        <f>EXP(INTERCEPT(E80:O80,E85:O85))</f>
        <v>7366.703898977036</v>
      </c>
      <c r="E17" s="498"/>
      <c r="F17" s="498"/>
      <c r="G17" s="268"/>
      <c r="H17" s="268"/>
      <c r="I17" s="268"/>
      <c r="J17" s="268"/>
      <c r="K17" s="268"/>
      <c r="L17" s="268"/>
    </row>
    <row r="18" spans="1:12" ht="15.75">
      <c r="A18" s="268"/>
      <c r="B18" s="500" t="s">
        <v>666</v>
      </c>
      <c r="C18" s="501"/>
      <c r="D18" s="502">
        <f>(CORREL(E80:O80,E85:O85))^2</f>
        <v>0.6901467590457566</v>
      </c>
      <c r="E18" s="498"/>
      <c r="F18" s="498"/>
      <c r="G18" s="268"/>
      <c r="H18" s="268"/>
      <c r="I18" s="268"/>
      <c r="J18" s="268"/>
      <c r="K18" s="268"/>
      <c r="L18" s="268"/>
    </row>
    <row r="19" spans="1:12" ht="13.5">
      <c r="A19" s="268"/>
      <c r="B19" s="503" t="s">
        <v>667</v>
      </c>
      <c r="C19" s="504"/>
      <c r="D19" s="505">
        <f>CORREL(E80:O80,E85:O85)</f>
        <v>-0.8307507201596377</v>
      </c>
      <c r="E19" s="498"/>
      <c r="F19" s="498"/>
      <c r="G19" s="268"/>
      <c r="H19" s="268"/>
      <c r="I19" s="268"/>
      <c r="J19" s="268"/>
      <c r="K19" s="268"/>
      <c r="L19" s="268"/>
    </row>
    <row r="20" spans="1:12" ht="14.25" thickBot="1">
      <c r="A20" s="268"/>
      <c r="B20" s="894" t="s">
        <v>668</v>
      </c>
      <c r="C20" s="900"/>
      <c r="D20" s="901">
        <f>COUNT(E91:O91)</f>
        <v>5</v>
      </c>
      <c r="E20" s="506"/>
      <c r="F20" s="479"/>
      <c r="G20" s="268"/>
      <c r="H20" s="268"/>
      <c r="I20" s="268"/>
      <c r="J20" s="268"/>
      <c r="K20" s="268"/>
      <c r="L20" s="268"/>
    </row>
    <row r="21" spans="1:12" ht="12.75">
      <c r="A21" s="268"/>
      <c r="B21" s="902" t="s">
        <v>605</v>
      </c>
      <c r="C21" s="903"/>
      <c r="D21" s="1283">
        <f>ABS(D19)/(SQRT((1-D18)/(D20-2)))</f>
        <v>2.5849570543118077</v>
      </c>
      <c r="E21" s="506"/>
      <c r="F21" s="479"/>
      <c r="G21" s="268"/>
      <c r="H21" s="268"/>
      <c r="I21" s="268"/>
      <c r="J21" s="268"/>
      <c r="K21" s="268"/>
      <c r="L21" s="268"/>
    </row>
    <row r="22" spans="1:12" ht="13.5" thickBot="1">
      <c r="A22" s="268"/>
      <c r="B22" s="646" t="s">
        <v>613</v>
      </c>
      <c r="C22" s="507"/>
      <c r="D22" s="1282">
        <f>1-TDIST(D21,D20-2,2)</f>
        <v>0.9185709713095179</v>
      </c>
      <c r="E22" s="506"/>
      <c r="F22" s="479"/>
      <c r="G22" s="268"/>
      <c r="H22" s="268"/>
      <c r="I22" s="268"/>
      <c r="J22" s="268"/>
      <c r="K22" s="268"/>
      <c r="L22" s="268"/>
    </row>
    <row r="23" spans="1:12" ht="26.25" customHeight="1" thickBot="1">
      <c r="A23" s="268"/>
      <c r="B23" s="874" t="s">
        <v>533</v>
      </c>
      <c r="C23" s="479"/>
      <c r="D23" s="479"/>
      <c r="E23" s="268"/>
      <c r="F23" s="268"/>
      <c r="G23" s="268"/>
      <c r="H23" s="268"/>
      <c r="I23" s="268"/>
      <c r="J23" s="268"/>
      <c r="K23" s="268"/>
      <c r="L23" s="268"/>
    </row>
    <row r="24" spans="1:12" ht="21" customHeight="1" thickBot="1">
      <c r="A24" s="268"/>
      <c r="B24" s="871"/>
      <c r="C24" s="872" t="s">
        <v>519</v>
      </c>
      <c r="D24" s="873" t="s">
        <v>520</v>
      </c>
      <c r="E24" s="1423" t="str">
        <f>"@Lower Boundary Slope ("&amp;CL_busch*100&amp;"% C.L.)"</f>
        <v>@Lower Boundary Slope (90% C.L.)</v>
      </c>
      <c r="F24" s="1408"/>
      <c r="G24" s="268"/>
      <c r="H24" s="268"/>
      <c r="I24" s="268"/>
      <c r="J24" s="268"/>
      <c r="K24" s="268"/>
      <c r="L24" s="268"/>
    </row>
    <row r="25" spans="1:12" ht="15.75" thickTop="1">
      <c r="A25" s="268"/>
      <c r="B25" s="509" t="s">
        <v>523</v>
      </c>
      <c r="C25" s="510" t="s">
        <v>474</v>
      </c>
      <c r="D25" s="511">
        <f>D15*Vs</f>
        <v>1.7024733633633766</v>
      </c>
      <c r="E25" s="1417">
        <f>D16*Vs</f>
        <v>0.6926914657180852</v>
      </c>
      <c r="F25" s="1418"/>
      <c r="G25" s="512"/>
      <c r="H25" s="512"/>
      <c r="I25" s="268"/>
      <c r="J25" s="268"/>
      <c r="K25" s="268"/>
      <c r="L25" s="268"/>
    </row>
    <row r="26" spans="1:12" ht="13.5">
      <c r="A26" s="268"/>
      <c r="B26" s="513" t="s">
        <v>524</v>
      </c>
      <c r="C26" s="499" t="s">
        <v>94</v>
      </c>
      <c r="D26" s="514">
        <f>LN(2)/D25</f>
        <v>0.40714127778808584</v>
      </c>
      <c r="E26" s="1419">
        <f>LN(2)/E25</f>
        <v>1.0006578900772045</v>
      </c>
      <c r="F26" s="1420"/>
      <c r="G26" s="512"/>
      <c r="H26" s="325"/>
      <c r="I26" s="268"/>
      <c r="J26" s="268"/>
      <c r="K26" s="268"/>
      <c r="L26" s="268"/>
    </row>
    <row r="27" spans="1:12" ht="15">
      <c r="A27" s="268"/>
      <c r="B27" s="509" t="s">
        <v>529</v>
      </c>
      <c r="C27" s="510" t="s">
        <v>474</v>
      </c>
      <c r="D27" s="511">
        <f>(Vc/(4*alpha.x))*((1+2*alpha.x*D15)^2-1)</f>
        <v>0.9956756961301486</v>
      </c>
      <c r="E27" s="1421">
        <f>(Vc/(4*alpha.x))*((1+2*alpha.x*D16)^2-1)</f>
        <v>0.3648563476430927</v>
      </c>
      <c r="F27" s="1422"/>
      <c r="G27" s="512"/>
      <c r="H27" s="325"/>
      <c r="I27" s="268"/>
      <c r="J27" s="268"/>
      <c r="K27" s="268"/>
      <c r="L27" s="268"/>
    </row>
    <row r="28" spans="1:12" ht="13.5">
      <c r="A28" s="268"/>
      <c r="B28" s="513" t="s">
        <v>538</v>
      </c>
      <c r="C28" s="499" t="s">
        <v>94</v>
      </c>
      <c r="D28" s="514">
        <f>LN(2)/D27</f>
        <v>0.6961575774662088</v>
      </c>
      <c r="E28" s="1419">
        <f>LN(2)/E27</f>
        <v>1.89978106462325</v>
      </c>
      <c r="F28" s="1420"/>
      <c r="G28" s="512"/>
      <c r="H28" s="325"/>
      <c r="I28" s="268"/>
      <c r="J28" s="268"/>
      <c r="K28" s="268"/>
      <c r="L28" s="268"/>
    </row>
    <row r="29" spans="1:12" ht="14.25" thickBot="1">
      <c r="A29" s="268"/>
      <c r="B29" s="515" t="s">
        <v>537</v>
      </c>
      <c r="C29" s="516" t="s">
        <v>40</v>
      </c>
      <c r="D29" s="517">
        <f>IF((D27/D25)&gt;1,1,D27/D25)</f>
        <v>0.5848406897615767</v>
      </c>
      <c r="E29" s="1424">
        <f>IF((E27/E25)&gt;1,1,E27/E25)</f>
        <v>0.5267227412205244</v>
      </c>
      <c r="F29" s="1425"/>
      <c r="G29" s="518"/>
      <c r="H29" s="325"/>
      <c r="I29" s="268"/>
      <c r="J29" s="268"/>
      <c r="K29" s="268"/>
      <c r="L29" s="268"/>
    </row>
    <row r="30" spans="1:12" ht="3" customHeight="1">
      <c r="A30" s="268"/>
      <c r="B30" s="498"/>
      <c r="C30" s="484"/>
      <c r="D30" s="518"/>
      <c r="E30" s="518"/>
      <c r="F30" s="518"/>
      <c r="G30" s="518"/>
      <c r="H30" s="325"/>
      <c r="I30" s="268"/>
      <c r="J30" s="268"/>
      <c r="K30" s="268"/>
      <c r="L30" s="268"/>
    </row>
    <row r="31" spans="1:12" ht="6" customHeight="1">
      <c r="A31" s="268"/>
      <c r="B31" s="498"/>
      <c r="C31" s="484"/>
      <c r="D31" s="518"/>
      <c r="E31" s="268"/>
      <c r="F31" s="268"/>
      <c r="G31" s="268"/>
      <c r="H31" s="268"/>
      <c r="I31" s="268"/>
      <c r="J31" s="268"/>
      <c r="K31" s="268"/>
      <c r="L31" s="268"/>
    </row>
    <row r="32" spans="1:12" ht="13.5">
      <c r="A32" s="268"/>
      <c r="B32" s="925" t="s">
        <v>699</v>
      </c>
      <c r="C32" s="268"/>
      <c r="D32" s="268"/>
      <c r="E32" s="268"/>
      <c r="F32" s="268"/>
      <c r="G32" s="268"/>
      <c r="H32" s="268"/>
      <c r="I32" s="268"/>
      <c r="J32" s="268"/>
      <c r="K32" s="268"/>
      <c r="L32" s="268"/>
    </row>
    <row r="33" spans="1:12" ht="10.5" customHeight="1" thickBot="1">
      <c r="A33" s="268"/>
      <c r="B33" s="268"/>
      <c r="C33" s="268"/>
      <c r="D33" s="268"/>
      <c r="E33" s="268"/>
      <c r="F33" s="268"/>
      <c r="G33" s="268"/>
      <c r="H33" s="268"/>
      <c r="I33" s="268"/>
      <c r="J33" s="268"/>
      <c r="K33" s="268"/>
      <c r="L33" s="268"/>
    </row>
    <row r="34" spans="1:12" ht="13.5" thickBot="1">
      <c r="A34" s="268"/>
      <c r="B34" s="645" t="s">
        <v>536</v>
      </c>
      <c r="C34" s="523"/>
      <c r="D34" s="1409" t="s">
        <v>551</v>
      </c>
      <c r="E34" s="1410"/>
      <c r="F34" s="1411"/>
      <c r="G34" s="1415" t="s">
        <v>539</v>
      </c>
      <c r="H34" s="1410"/>
      <c r="I34" s="1416"/>
      <c r="J34" s="268"/>
      <c r="K34" s="268"/>
      <c r="L34" s="268"/>
    </row>
    <row r="35" spans="1:12" ht="23.25" customHeight="1" thickBot="1">
      <c r="A35" s="268"/>
      <c r="B35" s="870" t="s">
        <v>566</v>
      </c>
      <c r="C35" s="520"/>
      <c r="D35" s="508" t="s">
        <v>520</v>
      </c>
      <c r="E35" s="1405" t="str">
        <f>"@Lower Boundary Slope ("&amp;CL_busch*100&amp;"% C.L.)"</f>
        <v>@Lower Boundary Slope (90% C.L.)</v>
      </c>
      <c r="F35" s="1406"/>
      <c r="G35" s="1407" t="s">
        <v>713</v>
      </c>
      <c r="H35" s="1408"/>
      <c r="I35" s="875">
        <v>100</v>
      </c>
      <c r="J35" s="481"/>
      <c r="K35" s="481"/>
      <c r="L35" s="481"/>
    </row>
    <row r="36" spans="1:12" ht="14.25" customHeight="1" thickBot="1" thickTop="1">
      <c r="A36" s="268"/>
      <c r="B36" s="485" t="s">
        <v>272</v>
      </c>
      <c r="C36" s="486">
        <v>200</v>
      </c>
      <c r="D36" s="1412">
        <f>E115</f>
        <v>279.5860108410487</v>
      </c>
      <c r="E36" s="1399">
        <f>E122</f>
        <v>1807.0164272229576</v>
      </c>
      <c r="F36" s="1400"/>
      <c r="G36" s="1390" t="str">
        <f>"In order to reach "&amp;C_target&amp;"ug/L @ location x="&amp;x_loc&amp;"ft, y="&amp;y_loc&amp;" ft, @ "&amp;t_steady&amp;" year, Current source Conc should be "&amp;source_backward_1&amp;" ug/L instead of "&amp;Source_current&amp;" ug/L."</f>
        <v>In order to reach 100ug/L @ location x=200ft, y=15 ft, @ 40 year, Current source Conc should be 3205.1 ug/L instead of 6500 ug/L.</v>
      </c>
      <c r="H36" s="1391"/>
      <c r="I36" s="1392"/>
      <c r="J36" s="484"/>
      <c r="K36" s="484"/>
      <c r="L36" s="484"/>
    </row>
    <row r="37" spans="1:12" ht="14.25" thickBot="1" thickTop="1">
      <c r="A37" s="268"/>
      <c r="B37" s="485" t="s">
        <v>273</v>
      </c>
      <c r="C37" s="486">
        <v>15</v>
      </c>
      <c r="D37" s="1413"/>
      <c r="E37" s="1401"/>
      <c r="F37" s="1402"/>
      <c r="G37" s="1393"/>
      <c r="H37" s="1394"/>
      <c r="I37" s="1395"/>
      <c r="J37" s="484"/>
      <c r="K37" s="484"/>
      <c r="L37" s="484"/>
    </row>
    <row r="38" spans="1:12" ht="15.75" customHeight="1" thickBot="1" thickTop="1">
      <c r="A38" s="268"/>
      <c r="B38" s="487" t="s">
        <v>535</v>
      </c>
      <c r="C38" s="488">
        <v>40</v>
      </c>
      <c r="D38" s="1414"/>
      <c r="E38" s="1403"/>
      <c r="F38" s="1404"/>
      <c r="G38" s="1396"/>
      <c r="H38" s="1397"/>
      <c r="I38" s="1398"/>
      <c r="J38" s="484"/>
      <c r="K38" s="484"/>
      <c r="L38" s="484"/>
    </row>
    <row r="39" spans="1:12" ht="7.5" customHeight="1">
      <c r="A39" s="268"/>
      <c r="B39" s="268"/>
      <c r="C39" s="268"/>
      <c r="D39" s="268"/>
      <c r="E39" s="268"/>
      <c r="F39" s="268"/>
      <c r="G39" s="268"/>
      <c r="H39" s="268"/>
      <c r="I39" s="268"/>
      <c r="J39" s="268"/>
      <c r="K39" s="268"/>
      <c r="L39" s="268"/>
    </row>
    <row r="40" spans="1:12" ht="18" customHeight="1">
      <c r="A40" s="268"/>
      <c r="B40" s="268"/>
      <c r="C40" s="268"/>
      <c r="D40" s="268"/>
      <c r="E40" s="268"/>
      <c r="F40" s="268"/>
      <c r="G40" s="268"/>
      <c r="H40" s="268"/>
      <c r="I40" s="268"/>
      <c r="J40" s="268"/>
      <c r="K40" s="268"/>
      <c r="L40" s="268"/>
    </row>
    <row r="41" spans="1:12" ht="12.75">
      <c r="A41" s="268"/>
      <c r="B41" s="268"/>
      <c r="C41" s="268"/>
      <c r="D41" s="268"/>
      <c r="E41" s="268"/>
      <c r="F41" s="268"/>
      <c r="G41" s="268"/>
      <c r="H41" s="268"/>
      <c r="I41" s="268"/>
      <c r="J41" s="268"/>
      <c r="K41" s="268"/>
      <c r="L41" s="268"/>
    </row>
    <row r="42" spans="1:12" ht="12.75">
      <c r="A42" s="268"/>
      <c r="B42" s="268"/>
      <c r="C42" s="268"/>
      <c r="D42" s="268"/>
      <c r="E42" s="268"/>
      <c r="F42" s="268"/>
      <c r="G42" s="268"/>
      <c r="H42" s="268"/>
      <c r="I42" s="268"/>
      <c r="J42" s="268"/>
      <c r="K42" s="268"/>
      <c r="L42" s="268"/>
    </row>
    <row r="43" spans="1:12" ht="12.75">
      <c r="A43" s="268"/>
      <c r="B43" s="268"/>
      <c r="C43" s="268"/>
      <c r="D43" s="268"/>
      <c r="E43" s="268"/>
      <c r="F43" s="268"/>
      <c r="G43" s="268"/>
      <c r="H43" s="268"/>
      <c r="I43" s="268"/>
      <c r="J43" s="268"/>
      <c r="K43" s="268"/>
      <c r="L43" s="268"/>
    </row>
    <row r="44" spans="1:12" ht="12.75">
      <c r="A44" s="268"/>
      <c r="B44" s="268"/>
      <c r="C44" s="268"/>
      <c r="D44" s="268"/>
      <c r="E44" s="268"/>
      <c r="F44" s="268"/>
      <c r="G44" s="268"/>
      <c r="H44" s="268"/>
      <c r="I44" s="268"/>
      <c r="J44" s="268"/>
      <c r="K44" s="268"/>
      <c r="L44" s="268"/>
    </row>
    <row r="45" spans="1:12" ht="12.75">
      <c r="A45" s="268"/>
      <c r="B45" s="268"/>
      <c r="C45" s="268"/>
      <c r="D45" s="268"/>
      <c r="E45" s="268"/>
      <c r="F45" s="268"/>
      <c r="G45" s="268"/>
      <c r="H45" s="268"/>
      <c r="I45" s="268"/>
      <c r="J45" s="268"/>
      <c r="K45" s="268"/>
      <c r="L45" s="268"/>
    </row>
    <row r="46" spans="1:12" ht="12.75">
      <c r="A46" s="268"/>
      <c r="B46" s="268"/>
      <c r="C46" s="268"/>
      <c r="D46" s="268"/>
      <c r="E46" s="268"/>
      <c r="F46" s="268"/>
      <c r="G46" s="268"/>
      <c r="H46" s="268"/>
      <c r="I46" s="268"/>
      <c r="J46" s="268"/>
      <c r="K46" s="268"/>
      <c r="L46" s="268"/>
    </row>
    <row r="47" spans="1:12" ht="12.75">
      <c r="A47" s="268"/>
      <c r="B47" s="268"/>
      <c r="C47" s="268"/>
      <c r="D47" s="268"/>
      <c r="E47" s="268"/>
      <c r="F47" s="268"/>
      <c r="G47" s="268"/>
      <c r="H47" s="268"/>
      <c r="I47" s="268"/>
      <c r="J47" s="268"/>
      <c r="K47" s="268"/>
      <c r="L47" s="268"/>
    </row>
    <row r="48" spans="1:12" ht="12.75">
      <c r="A48" s="268"/>
      <c r="B48" s="268"/>
      <c r="C48" s="268"/>
      <c r="D48" s="268"/>
      <c r="E48" s="268"/>
      <c r="F48" s="268"/>
      <c r="G48" s="268"/>
      <c r="H48" s="268"/>
      <c r="I48" s="268"/>
      <c r="J48" s="268"/>
      <c r="K48" s="268"/>
      <c r="L48" s="268"/>
    </row>
    <row r="49" spans="1:12" ht="12.75">
      <c r="A49" s="268"/>
      <c r="B49" s="268"/>
      <c r="C49" s="268"/>
      <c r="D49" s="268"/>
      <c r="E49" s="268"/>
      <c r="F49" s="268"/>
      <c r="G49" s="268"/>
      <c r="H49" s="268"/>
      <c r="I49" s="268"/>
      <c r="J49" s="268"/>
      <c r="K49" s="268"/>
      <c r="L49" s="268"/>
    </row>
    <row r="50" spans="1:12" ht="12.75">
      <c r="A50" s="268"/>
      <c r="B50" s="268"/>
      <c r="C50" s="268"/>
      <c r="D50" s="268"/>
      <c r="E50" s="268"/>
      <c r="F50" s="268"/>
      <c r="G50" s="268"/>
      <c r="H50" s="268"/>
      <c r="I50" s="268"/>
      <c r="J50" s="268"/>
      <c r="K50" s="268"/>
      <c r="L50" s="268"/>
    </row>
    <row r="51" spans="1:12" ht="12.75">
      <c r="A51" s="268"/>
      <c r="B51" s="268"/>
      <c r="C51" s="268"/>
      <c r="D51" s="268"/>
      <c r="E51" s="268"/>
      <c r="F51" s="268"/>
      <c r="G51" s="268"/>
      <c r="H51" s="268"/>
      <c r="I51" s="268"/>
      <c r="J51" s="268"/>
      <c r="K51" s="268"/>
      <c r="L51" s="268"/>
    </row>
    <row r="52" spans="1:12" ht="12.75">
      <c r="A52" s="268"/>
      <c r="B52" s="268"/>
      <c r="C52" s="268"/>
      <c r="D52" s="268"/>
      <c r="E52" s="268"/>
      <c r="F52" s="268"/>
      <c r="G52" s="268"/>
      <c r="H52" s="268"/>
      <c r="I52" s="268"/>
      <c r="J52" s="268"/>
      <c r="K52" s="268"/>
      <c r="L52" s="268"/>
    </row>
    <row r="53" spans="1:12" ht="12.75">
      <c r="A53" s="268"/>
      <c r="B53" s="268"/>
      <c r="C53" s="268"/>
      <c r="D53" s="268"/>
      <c r="E53" s="268"/>
      <c r="F53" s="268"/>
      <c r="G53" s="268"/>
      <c r="H53" s="268"/>
      <c r="I53" s="268"/>
      <c r="J53" s="268"/>
      <c r="K53" s="268"/>
      <c r="L53" s="268"/>
    </row>
    <row r="54" spans="1:12" ht="12.75">
      <c r="A54" s="268"/>
      <c r="B54" s="268"/>
      <c r="C54" s="268"/>
      <c r="D54" s="268"/>
      <c r="E54" s="268"/>
      <c r="F54" s="268"/>
      <c r="G54" s="268"/>
      <c r="H54" s="268"/>
      <c r="I54" s="268"/>
      <c r="J54" s="268"/>
      <c r="K54" s="268"/>
      <c r="L54" s="268"/>
    </row>
    <row r="55" spans="1:12" ht="12.75">
      <c r="A55" s="268"/>
      <c r="B55" s="268"/>
      <c r="C55" s="268"/>
      <c r="D55" s="268"/>
      <c r="E55" s="268"/>
      <c r="F55" s="268"/>
      <c r="G55" s="268"/>
      <c r="H55" s="268"/>
      <c r="I55" s="268"/>
      <c r="J55" s="268"/>
      <c r="K55" s="268"/>
      <c r="L55" s="268"/>
    </row>
    <row r="56" spans="1:12" ht="12.75">
      <c r="A56" s="268"/>
      <c r="B56" s="268"/>
      <c r="C56" s="268"/>
      <c r="D56" s="268"/>
      <c r="E56" s="268"/>
      <c r="F56" s="268"/>
      <c r="G56" s="268"/>
      <c r="H56" s="268"/>
      <c r="I56" s="268"/>
      <c r="J56" s="268"/>
      <c r="K56" s="268"/>
      <c r="L56" s="268"/>
    </row>
    <row r="57" spans="1:12" ht="12.75">
      <c r="A57" s="268"/>
      <c r="B57" s="268"/>
      <c r="C57" s="268"/>
      <c r="D57" s="268"/>
      <c r="E57" s="268"/>
      <c r="F57" s="268"/>
      <c r="G57" s="268"/>
      <c r="H57" s="268"/>
      <c r="I57" s="268"/>
      <c r="J57" s="268"/>
      <c r="K57" s="268"/>
      <c r="L57" s="268"/>
    </row>
    <row r="58" spans="1:12" ht="12.75">
      <c r="A58" s="268"/>
      <c r="B58" s="268"/>
      <c r="C58" s="268"/>
      <c r="D58" s="268"/>
      <c r="E58" s="268"/>
      <c r="F58" s="268"/>
      <c r="G58" s="268"/>
      <c r="H58" s="268"/>
      <c r="I58" s="268"/>
      <c r="J58" s="268"/>
      <c r="K58" s="268"/>
      <c r="L58" s="268"/>
    </row>
    <row r="59" spans="1:12" ht="12.75">
      <c r="A59" s="268"/>
      <c r="B59" s="268"/>
      <c r="C59" s="268"/>
      <c r="D59" s="268"/>
      <c r="E59" s="268"/>
      <c r="F59" s="268"/>
      <c r="G59" s="268"/>
      <c r="H59" s="268"/>
      <c r="I59" s="268"/>
      <c r="J59" s="268"/>
      <c r="K59" s="268"/>
      <c r="L59" s="268"/>
    </row>
    <row r="60" spans="1:12" ht="12.75">
      <c r="A60" s="268"/>
      <c r="B60" s="268"/>
      <c r="C60" s="268"/>
      <c r="D60" s="268"/>
      <c r="E60" s="268"/>
      <c r="F60" s="268"/>
      <c r="G60" s="268"/>
      <c r="H60" s="268"/>
      <c r="I60" s="268"/>
      <c r="J60" s="268"/>
      <c r="K60" s="268"/>
      <c r="L60" s="268"/>
    </row>
    <row r="61" spans="1:12" ht="12.75">
      <c r="A61" s="268"/>
      <c r="B61" s="268"/>
      <c r="C61" s="268"/>
      <c r="D61" s="268"/>
      <c r="E61" s="268"/>
      <c r="F61" s="268"/>
      <c r="G61" s="268"/>
      <c r="H61" s="268"/>
      <c r="I61" s="268"/>
      <c r="J61" s="268"/>
      <c r="K61" s="268"/>
      <c r="L61" s="268"/>
    </row>
    <row r="62" spans="1:12" ht="12.75">
      <c r="A62" s="268"/>
      <c r="B62" s="268"/>
      <c r="C62" s="268"/>
      <c r="D62" s="268"/>
      <c r="E62" s="268"/>
      <c r="F62" s="268"/>
      <c r="G62" s="268"/>
      <c r="H62" s="268"/>
      <c r="I62" s="268"/>
      <c r="J62" s="268"/>
      <c r="K62" s="268"/>
      <c r="L62" s="268"/>
    </row>
    <row r="63" ht="12.75">
      <c r="G63" s="525">
        <v>140.17165</v>
      </c>
    </row>
    <row r="64" spans="4:7" ht="12.75">
      <c r="D64" s="525" t="s">
        <v>610</v>
      </c>
      <c r="E64" s="525">
        <v>0.33</v>
      </c>
      <c r="G64" s="525">
        <f>G63/2</f>
        <v>70.085825</v>
      </c>
    </row>
    <row r="65" ht="12.75">
      <c r="G65" s="525">
        <f>1-(G77-G64)^2/G64^2-G78^2/(0.33*G64)^2</f>
        <v>9.169607628756182E-08</v>
      </c>
    </row>
    <row r="67" spans="7:10" ht="12.75">
      <c r="G67" s="525">
        <f>2*($E64^2*G77^2+G78^2)/($E64^2*2*G77)</f>
        <v>140.1716465352829</v>
      </c>
      <c r="H67" s="525">
        <f>2*($E64^2*H77^2+H78^2)/($E64^2*2*H77)</f>
        <v>341.9846954392409</v>
      </c>
      <c r="I67" s="525">
        <f>2*($E64^2*I77^2+I78^2)/($E64^2*2*I77)</f>
        <v>291.18845015814713</v>
      </c>
      <c r="J67" s="525" t="e">
        <f>2*($E64^2*J77^2+J78^2)/($E64^2*2*J77)</f>
        <v>#VALUE!</v>
      </c>
    </row>
    <row r="69" spans="4:15" s="527" customFormat="1" ht="9.75">
      <c r="D69" s="1083" t="s">
        <v>285</v>
      </c>
      <c r="E69" s="526" t="str">
        <f>E76</f>
        <v>MW-1</v>
      </c>
      <c r="F69" s="526" t="str">
        <f aca="true" t="shared" si="0" ref="F69:O69">F76</f>
        <v>MW-2</v>
      </c>
      <c r="G69" s="526" t="str">
        <f t="shared" si="0"/>
        <v>MW-3</v>
      </c>
      <c r="H69" s="526" t="str">
        <f t="shared" si="0"/>
        <v>MW-4</v>
      </c>
      <c r="I69" s="526" t="str">
        <f t="shared" si="0"/>
        <v>MW-5</v>
      </c>
      <c r="J69" s="526" t="str">
        <f t="shared" si="0"/>
        <v>NA</v>
      </c>
      <c r="K69" s="526" t="str">
        <f t="shared" si="0"/>
        <v>NA</v>
      </c>
      <c r="L69" s="526" t="str">
        <f t="shared" si="0"/>
        <v>NA</v>
      </c>
      <c r="M69" s="526" t="str">
        <f t="shared" si="0"/>
        <v>NA</v>
      </c>
      <c r="N69" s="526" t="str">
        <f t="shared" si="0"/>
        <v>NA</v>
      </c>
      <c r="O69" s="526" t="str">
        <f t="shared" si="0"/>
        <v>NA</v>
      </c>
    </row>
    <row r="70" spans="4:15" s="527" customFormat="1" ht="9.75">
      <c r="D70" s="1083" t="s">
        <v>418</v>
      </c>
      <c r="E70" s="526">
        <f>E85</f>
        <v>0</v>
      </c>
      <c r="F70" s="526">
        <f aca="true" t="shared" si="1" ref="F70:O70">F85</f>
        <v>77.57346097933963</v>
      </c>
      <c r="G70" s="526">
        <f t="shared" si="1"/>
        <v>140.16919374440567</v>
      </c>
      <c r="H70" s="526">
        <f t="shared" si="1"/>
        <v>341.9597600951184</v>
      </c>
      <c r="I70" s="526">
        <f t="shared" si="1"/>
        <v>291.187527588197</v>
      </c>
      <c r="J70" s="526" t="str">
        <f t="shared" si="1"/>
        <v>NA</v>
      </c>
      <c r="K70" s="526" t="str">
        <f t="shared" si="1"/>
        <v>NA</v>
      </c>
      <c r="L70" s="526" t="str">
        <f t="shared" si="1"/>
        <v>NA</v>
      </c>
      <c r="M70" s="526" t="str">
        <f t="shared" si="1"/>
        <v>NA</v>
      </c>
      <c r="N70" s="526" t="str">
        <f t="shared" si="1"/>
        <v>NA</v>
      </c>
      <c r="O70" s="526" t="str">
        <f t="shared" si="1"/>
        <v>NA</v>
      </c>
    </row>
    <row r="71" spans="4:15" s="527" customFormat="1" ht="9.75">
      <c r="D71" s="1083" t="s">
        <v>267</v>
      </c>
      <c r="E71" s="526">
        <f>E79</f>
        <v>6500</v>
      </c>
      <c r="F71" s="526">
        <f aca="true" t="shared" si="2" ref="F71:O71">F79</f>
        <v>3600</v>
      </c>
      <c r="G71" s="526">
        <f t="shared" si="2"/>
        <v>1100</v>
      </c>
      <c r="H71" s="526">
        <f t="shared" si="2"/>
        <v>250</v>
      </c>
      <c r="I71" s="526">
        <f t="shared" si="2"/>
        <v>10</v>
      </c>
      <c r="J71" s="526" t="str">
        <f t="shared" si="2"/>
        <v>NA</v>
      </c>
      <c r="K71" s="526" t="str">
        <f t="shared" si="2"/>
        <v>NA</v>
      </c>
      <c r="L71" s="526" t="str">
        <f t="shared" si="2"/>
        <v>NA</v>
      </c>
      <c r="M71" s="526" t="str">
        <f t="shared" si="2"/>
        <v>NA</v>
      </c>
      <c r="N71" s="526" t="str">
        <f t="shared" si="2"/>
        <v>NA</v>
      </c>
      <c r="O71" s="526" t="str">
        <f t="shared" si="2"/>
        <v>NA</v>
      </c>
    </row>
    <row r="72" s="527" customFormat="1" ht="9.75"/>
    <row r="73" s="527" customFormat="1" ht="9.75"/>
    <row r="74" s="527" customFormat="1" ht="9.75"/>
    <row r="75" s="527" customFormat="1" ht="9.75"/>
    <row r="76" spans="4:15" s="527" customFormat="1" ht="9.75">
      <c r="D76" s="1083" t="s">
        <v>285</v>
      </c>
      <c r="E76" s="528" t="str">
        <f>IF(ISBLANK(Input!J24),"NA",Input!J24)</f>
        <v>MW-1</v>
      </c>
      <c r="F76" s="528" t="str">
        <f>IF(ISBLANK(Input!K24),"NA",Input!K24)</f>
        <v>MW-2</v>
      </c>
      <c r="G76" s="528" t="str">
        <f>IF(ISBLANK(Input!L24),"NA",Input!L24)</f>
        <v>MW-3</v>
      </c>
      <c r="H76" s="528" t="str">
        <f>IF(ISBLANK(Input!M24),"NA",Input!M24)</f>
        <v>MW-4</v>
      </c>
      <c r="I76" s="528" t="str">
        <f>IF(ISBLANK(Input!N24),"NA",Input!N24)</f>
        <v>MW-5</v>
      </c>
      <c r="J76" s="528" t="str">
        <f>IF(ISBLANK(Input!O24),"NA",Input!O24)</f>
        <v>NA</v>
      </c>
      <c r="K76" s="528" t="str">
        <f>IF(ISBLANK(Input!P24),"NA",Input!P24)</f>
        <v>NA</v>
      </c>
      <c r="L76" s="528" t="str">
        <f>IF(ISBLANK(Input!Q24),"NA",Input!Q24)</f>
        <v>NA</v>
      </c>
      <c r="M76" s="528" t="str">
        <f>IF(ISBLANK(Input!R24),"NA",Input!R24)</f>
        <v>NA</v>
      </c>
      <c r="N76" s="528" t="str">
        <f>IF(ISBLANK(Input!S24),"NA",Input!S24)</f>
        <v>NA</v>
      </c>
      <c r="O76" s="528" t="str">
        <f>IF(ISBLANK(Input!T24),"NA",Input!T24)</f>
        <v>NA</v>
      </c>
    </row>
    <row r="77" spans="4:15" s="527" customFormat="1" ht="9.75">
      <c r="D77" s="1084" t="s">
        <v>266</v>
      </c>
      <c r="E77" s="528">
        <f>IF(ISBLANK(Input!J25),"NA",Input!J25)</f>
        <v>0</v>
      </c>
      <c r="F77" s="528">
        <f>IF(ISBLANK(Input!K25),"NA",Input!K25)</f>
        <v>63</v>
      </c>
      <c r="G77" s="528">
        <f>IF(ISBLANK(Input!L25),"NA",Input!L25)</f>
        <v>130</v>
      </c>
      <c r="H77" s="528">
        <f>IF(ISBLANK(Input!M25),"NA",Input!M25)</f>
        <v>192</v>
      </c>
      <c r="I77" s="528">
        <f>IF(ISBLANK(Input!N25),"NA",Input!N25)</f>
        <v>288</v>
      </c>
      <c r="J77" s="528" t="str">
        <f>IF(ISBLANK(Input!O25),"NA",Input!O25)</f>
        <v>NA</v>
      </c>
      <c r="K77" s="528" t="str">
        <f>IF(ISBLANK(Input!P25),"NA",Input!P25)</f>
        <v>NA</v>
      </c>
      <c r="L77" s="528" t="str">
        <f>IF(ISBLANK(Input!Q25),"NA",Input!Q25)</f>
        <v>NA</v>
      </c>
      <c r="M77" s="528" t="str">
        <f>IF(ISBLANK(Input!R25),"NA",Input!R25)</f>
        <v>NA</v>
      </c>
      <c r="N77" s="528" t="str">
        <f>IF(ISBLANK(Input!S25),"NA",Input!S25)</f>
        <v>NA</v>
      </c>
      <c r="O77" s="528" t="str">
        <f>IF(ISBLANK(Input!T25),"NA",Input!T25)</f>
        <v>NA</v>
      </c>
    </row>
    <row r="78" spans="4:15" s="527" customFormat="1" ht="9.75">
      <c r="D78" s="1083" t="s">
        <v>283</v>
      </c>
      <c r="E78" s="528">
        <f>IF(ISBLANK(Input!J26),"NA",Input!J26)</f>
        <v>0</v>
      </c>
      <c r="F78" s="528">
        <f>IF(ISBLANK(Input!K26),"NA",Input!K26)</f>
        <v>10</v>
      </c>
      <c r="G78" s="528">
        <f>IF(ISBLANK(Input!L26),"NA",Input!L26)</f>
        <v>12</v>
      </c>
      <c r="H78" s="528">
        <f>IF(ISBLANK(Input!M26),"NA",Input!M26)</f>
        <v>56</v>
      </c>
      <c r="I78" s="528">
        <f>IF(ISBLANK(Input!N26),"NA",Input!N26)</f>
        <v>10</v>
      </c>
      <c r="J78" s="528" t="str">
        <f>IF(ISBLANK(Input!O26),"NA",Input!O26)</f>
        <v>NA</v>
      </c>
      <c r="K78" s="528" t="str">
        <f>IF(ISBLANK(Input!P26),"NA",Input!P26)</f>
        <v>NA</v>
      </c>
      <c r="L78" s="528" t="str">
        <f>IF(ISBLANK(Input!Q26),"NA",Input!Q26)</f>
        <v>NA</v>
      </c>
      <c r="M78" s="528" t="str">
        <f>IF(ISBLANK(Input!R26),"NA",Input!R26)</f>
        <v>NA</v>
      </c>
      <c r="N78" s="528" t="str">
        <f>IF(ISBLANK(Input!S26),"NA",Input!S26)</f>
        <v>NA</v>
      </c>
      <c r="O78" s="528" t="str">
        <f>IF(ISBLANK(Input!T26),"NA",Input!T26)</f>
        <v>NA</v>
      </c>
    </row>
    <row r="79" spans="4:15" s="527" customFormat="1" ht="9.75">
      <c r="D79" s="1083" t="s">
        <v>267</v>
      </c>
      <c r="E79" s="528">
        <f>IF(ISBLANK(Input!J27),"NA",Input!J27)</f>
        <v>6500</v>
      </c>
      <c r="F79" s="528">
        <f>IF(ISBLANK(Input!K27),"NA",Input!K27)</f>
        <v>3600</v>
      </c>
      <c r="G79" s="528">
        <f>IF(ISBLANK(Input!L27),"NA",Input!L27)</f>
        <v>1100</v>
      </c>
      <c r="H79" s="528">
        <f>IF(ISBLANK(Input!M27),"NA",Input!M27)</f>
        <v>250</v>
      </c>
      <c r="I79" s="528">
        <f>IF(ISBLANK(Input!N27),"NA",Input!N27)</f>
        <v>10</v>
      </c>
      <c r="J79" s="528" t="str">
        <f>IF(ISBLANK(Input!O27),"NA",Input!O27)</f>
        <v>NA</v>
      </c>
      <c r="K79" s="528" t="str">
        <f>IF(ISBLANK(Input!P27),"NA",Input!P27)</f>
        <v>NA</v>
      </c>
      <c r="L79" s="528" t="str">
        <f>IF(ISBLANK(Input!Q27),"NA",Input!Q27)</f>
        <v>NA</v>
      </c>
      <c r="M79" s="528" t="str">
        <f>IF(ISBLANK(Input!R27),"NA",Input!R27)</f>
        <v>NA</v>
      </c>
      <c r="N79" s="528" t="str">
        <f>IF(ISBLANK(Input!S27),"NA",Input!S27)</f>
        <v>NA</v>
      </c>
      <c r="O79" s="528" t="str">
        <f>IF(ISBLANK(Input!T27),"NA",Input!T27)</f>
        <v>NA</v>
      </c>
    </row>
    <row r="80" spans="4:15" s="527" customFormat="1" ht="9.75">
      <c r="D80" s="1084" t="s">
        <v>381</v>
      </c>
      <c r="E80" s="526">
        <f>IF(ISTEXT(E79),"NA",LN(E79))</f>
        <v>8.779557455883728</v>
      </c>
      <c r="F80" s="526">
        <f aca="true" t="shared" si="3" ref="F80:O80">IF(ISTEXT(F79),"NA",LN(F79))</f>
        <v>8.1886891244442</v>
      </c>
      <c r="G80" s="526">
        <f t="shared" si="3"/>
        <v>7.003065458786462</v>
      </c>
      <c r="H80" s="526">
        <f t="shared" si="3"/>
        <v>5.521460917862246</v>
      </c>
      <c r="I80" s="526">
        <f t="shared" si="3"/>
        <v>2.302585092994046</v>
      </c>
      <c r="J80" s="526" t="str">
        <f t="shared" si="3"/>
        <v>NA</v>
      </c>
      <c r="K80" s="526" t="str">
        <f t="shared" si="3"/>
        <v>NA</v>
      </c>
      <c r="L80" s="526" t="str">
        <f t="shared" si="3"/>
        <v>NA</v>
      </c>
      <c r="M80" s="526" t="str">
        <f t="shared" si="3"/>
        <v>NA</v>
      </c>
      <c r="N80" s="526" t="str">
        <f t="shared" si="3"/>
        <v>NA</v>
      </c>
      <c r="O80" s="526" t="str">
        <f t="shared" si="3"/>
        <v>NA</v>
      </c>
    </row>
    <row r="81" spans="4:15" s="527" customFormat="1" ht="9.75">
      <c r="D81" s="1084"/>
      <c r="E81" s="526"/>
      <c r="F81" s="526"/>
      <c r="G81" s="526"/>
      <c r="H81" s="526"/>
      <c r="I81" s="526"/>
      <c r="J81" s="526"/>
      <c r="K81" s="526"/>
      <c r="L81" s="526"/>
      <c r="M81" s="526"/>
      <c r="N81" s="526"/>
      <c r="O81" s="526"/>
    </row>
    <row r="82" s="527" customFormat="1" ht="9.75">
      <c r="D82" s="1084"/>
    </row>
    <row r="83" spans="4:15" s="527" customFormat="1" ht="9.75">
      <c r="D83" s="1084" t="s">
        <v>375</v>
      </c>
      <c r="E83" s="527" t="e">
        <f>TANH(E78/E77)</f>
        <v>#DIV/0!</v>
      </c>
      <c r="F83" s="527">
        <f>TANH(F78/F77)</f>
        <v>0.15741037533836752</v>
      </c>
      <c r="G83" s="527">
        <f aca="true" t="shared" si="4" ref="G83:O83">TANH(G78/G77)</f>
        <v>0.09204640711160382</v>
      </c>
      <c r="H83" s="527">
        <f t="shared" si="4"/>
        <v>0.28366809017746203</v>
      </c>
      <c r="I83" s="527">
        <f t="shared" si="4"/>
        <v>0.034708274865977495</v>
      </c>
      <c r="J83" s="527" t="e">
        <f t="shared" si="4"/>
        <v>#VALUE!</v>
      </c>
      <c r="K83" s="527" t="e">
        <f t="shared" si="4"/>
        <v>#VALUE!</v>
      </c>
      <c r="L83" s="527" t="e">
        <f t="shared" si="4"/>
        <v>#VALUE!</v>
      </c>
      <c r="M83" s="527" t="e">
        <f t="shared" si="4"/>
        <v>#VALUE!</v>
      </c>
      <c r="N83" s="527" t="e">
        <f t="shared" si="4"/>
        <v>#VALUE!</v>
      </c>
      <c r="O83" s="527" t="e">
        <f t="shared" si="4"/>
        <v>#VALUE!</v>
      </c>
    </row>
    <row r="84" spans="4:15" s="527" customFormat="1" ht="9.75">
      <c r="D84" s="1084" t="s">
        <v>376</v>
      </c>
      <c r="E84" s="527">
        <f>0</f>
        <v>0</v>
      </c>
      <c r="F84" s="527">
        <f aca="true" t="shared" si="5" ref="F84:O84">F78/SIN(F83)</f>
        <v>63.79132494173627</v>
      </c>
      <c r="G84" s="527">
        <f t="shared" si="5"/>
        <v>130.55329614462124</v>
      </c>
      <c r="H84" s="527">
        <f t="shared" si="5"/>
        <v>200.08645199117487</v>
      </c>
      <c r="I84" s="527">
        <f t="shared" si="5"/>
        <v>288.17358669497327</v>
      </c>
      <c r="J84" s="527" t="e">
        <f t="shared" si="5"/>
        <v>#VALUE!</v>
      </c>
      <c r="K84" s="527" t="e">
        <f t="shared" si="5"/>
        <v>#VALUE!</v>
      </c>
      <c r="L84" s="527" t="e">
        <f t="shared" si="5"/>
        <v>#VALUE!</v>
      </c>
      <c r="M84" s="527" t="e">
        <f t="shared" si="5"/>
        <v>#VALUE!</v>
      </c>
      <c r="N84" s="527" t="e">
        <f t="shared" si="5"/>
        <v>#VALUE!</v>
      </c>
      <c r="O84" s="527" t="e">
        <f t="shared" si="5"/>
        <v>#VALUE!</v>
      </c>
    </row>
    <row r="85" spans="4:15" s="527" customFormat="1" ht="9.75">
      <c r="D85" s="1084" t="s">
        <v>378</v>
      </c>
      <c r="E85" s="527">
        <v>0</v>
      </c>
      <c r="F85" s="527">
        <f>IF(ISBLANK(Input!K27),"NA",IF(F78=0,F77,(COS(F83)^2*F84+9.18*SIN(F83)^2*F84)/COS(F83)))</f>
        <v>77.57346097933963</v>
      </c>
      <c r="G85" s="527">
        <f>IF(ISBLANK(Input!L27),"NA",IF(G78=0,G77,(COS(G83)^2*G84+9.18*SIN(G83)^2*G84)/COS(G83)))</f>
        <v>140.16919374440567</v>
      </c>
      <c r="H85" s="527">
        <f>IF(ISBLANK(Input!M27),"NA",IF(H78=0,H77,(COS(H83)^2*H84+9.18*SIN(H83)^2*H84)/COS(H83)))</f>
        <v>341.9597600951184</v>
      </c>
      <c r="I85" s="527">
        <f>IF(ISBLANK(Input!N27),"NA",IF(I78=0,I77,(COS(I83)^2*I84+9.18*SIN(I83)^2*I84)/COS(I83)))</f>
        <v>291.187527588197</v>
      </c>
      <c r="J85" s="527" t="str">
        <f>IF(ISBLANK(Input!O27),"NA",IF(J78=0,J77,(COS(J83)^2*J84+9.18*SIN(J83)^2*J84)/COS(J83)))</f>
        <v>NA</v>
      </c>
      <c r="K85" s="527" t="str">
        <f>IF(ISBLANK(Input!P27),"NA",IF(K78=0,K77,(COS(K83)^2*K84+9.18*SIN(K83)^2*K84)/COS(K83)))</f>
        <v>NA</v>
      </c>
      <c r="L85" s="527" t="str">
        <f>IF(ISBLANK(Input!Q27),"NA",IF(L78=0,L77,(COS(L83)^2*L84+9.18*SIN(L83)^2*L84)/COS(L83)))</f>
        <v>NA</v>
      </c>
      <c r="M85" s="527" t="str">
        <f>IF(ISBLANK(Input!R27),"NA",IF(M78=0,M77,(COS(M83)^2*M84+9.18*SIN(M83)^2*M84)/COS(M83)))</f>
        <v>NA</v>
      </c>
      <c r="N85" s="527" t="str">
        <f>IF(ISBLANK(Input!S27),"NA",IF(N78=0,N77,(COS(N83)^2*N84+9.18*SIN(N83)^2*N84)/COS(N83)))</f>
        <v>NA</v>
      </c>
      <c r="O85" s="527" t="str">
        <f>IF(ISBLANK(Input!T27),"NA",IF(O78=0,O77,(COS(O83)^2*O84+9.18*SIN(O83)^2*O84)/COS(O83)))</f>
        <v>NA</v>
      </c>
    </row>
    <row r="86" s="527" customFormat="1" ht="9.75"/>
    <row r="87" spans="4:15" s="527" customFormat="1" ht="9.75">
      <c r="D87" s="1084" t="s">
        <v>193</v>
      </c>
      <c r="F87" s="527">
        <f>F84*SIN(F83)</f>
        <v>10</v>
      </c>
      <c r="G87" s="527">
        <f aca="true" t="shared" si="6" ref="G87:O87">G84*SIN(G83)</f>
        <v>12</v>
      </c>
      <c r="H87" s="527">
        <f t="shared" si="6"/>
        <v>56</v>
      </c>
      <c r="I87" s="527">
        <f t="shared" si="6"/>
        <v>10</v>
      </c>
      <c r="J87" s="527" t="e">
        <f t="shared" si="6"/>
        <v>#VALUE!</v>
      </c>
      <c r="K87" s="527" t="e">
        <f t="shared" si="6"/>
        <v>#VALUE!</v>
      </c>
      <c r="L87" s="527" t="e">
        <f t="shared" si="6"/>
        <v>#VALUE!</v>
      </c>
      <c r="M87" s="527" t="e">
        <f t="shared" si="6"/>
        <v>#VALUE!</v>
      </c>
      <c r="N87" s="527" t="e">
        <f t="shared" si="6"/>
        <v>#VALUE!</v>
      </c>
      <c r="O87" s="527" t="e">
        <f t="shared" si="6"/>
        <v>#VALUE!</v>
      </c>
    </row>
    <row r="88" spans="4:15" s="527" customFormat="1" ht="9.75">
      <c r="D88" s="1084" t="s">
        <v>205</v>
      </c>
      <c r="F88" s="527">
        <f>F84*COS(F83)</f>
        <v>63.00264389549207</v>
      </c>
      <c r="G88" s="527">
        <f aca="true" t="shared" si="7" ref="G88:O88">G84*COS(G83)</f>
        <v>130.00062743781345</v>
      </c>
      <c r="H88" s="527">
        <f t="shared" si="7"/>
        <v>192.09005250250917</v>
      </c>
      <c r="I88" s="527">
        <f t="shared" si="7"/>
        <v>288.00002789695225</v>
      </c>
      <c r="J88" s="527" t="e">
        <f t="shared" si="7"/>
        <v>#VALUE!</v>
      </c>
      <c r="K88" s="527" t="e">
        <f t="shared" si="7"/>
        <v>#VALUE!</v>
      </c>
      <c r="L88" s="527" t="e">
        <f t="shared" si="7"/>
        <v>#VALUE!</v>
      </c>
      <c r="M88" s="527" t="e">
        <f t="shared" si="7"/>
        <v>#VALUE!</v>
      </c>
      <c r="N88" s="527" t="e">
        <f t="shared" si="7"/>
        <v>#VALUE!</v>
      </c>
      <c r="O88" s="527" t="e">
        <f t="shared" si="7"/>
        <v>#VALUE!</v>
      </c>
    </row>
    <row r="89" s="527" customFormat="1" ht="10.5" thickBot="1"/>
    <row r="90" spans="4:15" s="527" customFormat="1" ht="9.75">
      <c r="D90" s="1085" t="s">
        <v>379</v>
      </c>
      <c r="E90" s="529" t="str">
        <f>Input!J24</f>
        <v>MW-1</v>
      </c>
      <c r="F90" s="529" t="str">
        <f>Input!K24</f>
        <v>MW-2</v>
      </c>
      <c r="G90" s="529" t="str">
        <f>Input!L24</f>
        <v>MW-3</v>
      </c>
      <c r="H90" s="529" t="str">
        <f>Input!M24</f>
        <v>MW-4</v>
      </c>
      <c r="I90" s="529" t="str">
        <f>Input!N24</f>
        <v>MW-5</v>
      </c>
      <c r="J90" s="529">
        <f>Input!O24</f>
        <v>0</v>
      </c>
      <c r="K90" s="529">
        <f>Input!P24</f>
        <v>0</v>
      </c>
      <c r="L90" s="529">
        <f>Input!Q24</f>
        <v>0</v>
      </c>
      <c r="M90" s="529">
        <f>Input!R24</f>
        <v>0</v>
      </c>
      <c r="N90" s="529">
        <f>Input!S24</f>
        <v>0</v>
      </c>
      <c r="O90" s="536">
        <f>Input!T24</f>
        <v>0</v>
      </c>
    </row>
    <row r="91" spans="4:15" s="527" customFormat="1" ht="9.75">
      <c r="D91" s="1086" t="s">
        <v>629</v>
      </c>
      <c r="E91" s="530">
        <f>IF(ISBLANK(Input!J$27),#N/A,Input!J27)</f>
        <v>6500</v>
      </c>
      <c r="F91" s="530">
        <f>IF(ISBLANK(Input!K27),#N/A,Input!K27)</f>
        <v>3600</v>
      </c>
      <c r="G91" s="530">
        <f>IF(ISBLANK(Input!L27),#N/A,Input!L27)</f>
        <v>1100</v>
      </c>
      <c r="H91" s="530">
        <f>IF(ISBLANK(Input!M27),#N/A,Input!M27)</f>
        <v>250</v>
      </c>
      <c r="I91" s="530">
        <f>IF(ISBLANK(Input!N27),#N/A,Input!N27)</f>
        <v>10</v>
      </c>
      <c r="J91" s="530" t="e">
        <f>IF(ISBLANK(Input!O27),#N/A,Input!O27)</f>
        <v>#N/A</v>
      </c>
      <c r="K91" s="530" t="e">
        <f>IF(ISBLANK(Input!P27),#N/A,Input!P27)</f>
        <v>#N/A</v>
      </c>
      <c r="L91" s="530" t="e">
        <f>IF(ISBLANK(Input!Q27),#N/A,Input!Q27)</f>
        <v>#N/A</v>
      </c>
      <c r="M91" s="530" t="e">
        <f>IF(ISBLANK(Input!R27),#N/A,Input!R27)</f>
        <v>#N/A</v>
      </c>
      <c r="N91" s="530" t="e">
        <f>IF(ISBLANK(Input!S27),#N/A,Input!S27)</f>
        <v>#N/A</v>
      </c>
      <c r="O91" s="537" t="e">
        <f>IF(ISBLANK(Input!T27),#N/A,Input!T27)</f>
        <v>#N/A</v>
      </c>
    </row>
    <row r="92" spans="4:15" s="527" customFormat="1" ht="9.75">
      <c r="D92" s="1086"/>
      <c r="E92" s="530"/>
      <c r="F92" s="530"/>
      <c r="G92" s="530"/>
      <c r="H92" s="530"/>
      <c r="I92" s="530"/>
      <c r="J92" s="530"/>
      <c r="K92" s="530"/>
      <c r="L92" s="530"/>
      <c r="M92" s="530"/>
      <c r="N92" s="530"/>
      <c r="O92" s="537"/>
    </row>
    <row r="93" spans="4:15" s="527" customFormat="1" ht="9.75">
      <c r="D93" s="1086" t="s">
        <v>377</v>
      </c>
      <c r="E93" s="530">
        <f>IF(ISBLANK(Input!J27),#N/A,Input!J25)</f>
        <v>0</v>
      </c>
      <c r="F93" s="530">
        <f>IF(ISBLANK(Input!K27),#N/A,Input!K25)</f>
        <v>63</v>
      </c>
      <c r="G93" s="530">
        <f>IF(ISBLANK(Input!L27),#N/A,Input!L25)</f>
        <v>130</v>
      </c>
      <c r="H93" s="530">
        <f>IF(ISBLANK(Input!M27),#N/A,Input!M25)</f>
        <v>192</v>
      </c>
      <c r="I93" s="530">
        <f>IF(ISBLANK(Input!N27),#N/A,Input!N25)</f>
        <v>288</v>
      </c>
      <c r="J93" s="530" t="e">
        <f>IF(ISBLANK(Input!O27),#N/A,Input!O25)</f>
        <v>#N/A</v>
      </c>
      <c r="K93" s="530" t="e">
        <f>IF(ISBLANK(Input!P27),#N/A,Input!P25)</f>
        <v>#N/A</v>
      </c>
      <c r="L93" s="530" t="e">
        <f>IF(ISBLANK(Input!Q27),#N/A,Input!Q25)</f>
        <v>#N/A</v>
      </c>
      <c r="M93" s="530" t="e">
        <f>IF(ISBLANK(Input!R27),#N/A,Input!R25)</f>
        <v>#N/A</v>
      </c>
      <c r="N93" s="530" t="e">
        <f>IF(ISBLANK(Input!S27),#N/A,Input!S25)</f>
        <v>#N/A</v>
      </c>
      <c r="O93" s="537" t="e">
        <f>IF(ISBLANK(Input!T27),#N/A,Input!T25)</f>
        <v>#N/A</v>
      </c>
    </row>
    <row r="94" spans="4:15" s="527" customFormat="1" ht="10.5" thickBot="1">
      <c r="D94" s="1087" t="s">
        <v>380</v>
      </c>
      <c r="E94" s="531">
        <f>IF(ISBLANK(Input!J27),#N/A,E85)</f>
        <v>0</v>
      </c>
      <c r="F94" s="531">
        <f>IF(ISBLANK(Input!K27),#N/A,F85)</f>
        <v>77.57346097933963</v>
      </c>
      <c r="G94" s="531">
        <f>IF(ISBLANK(Input!L27),#N/A,G85)</f>
        <v>140.16919374440567</v>
      </c>
      <c r="H94" s="531">
        <f>IF(ISBLANK(Input!M27),#N/A,H85)</f>
        <v>341.9597600951184</v>
      </c>
      <c r="I94" s="531">
        <f>IF(ISBLANK(Input!N27),#N/A,I85)</f>
        <v>291.187527588197</v>
      </c>
      <c r="J94" s="531" t="e">
        <f>IF(ISBLANK(Input!O27),#N/A,J85)</f>
        <v>#N/A</v>
      </c>
      <c r="K94" s="531" t="e">
        <f>IF(ISBLANK(Input!P27),#N/A,K85)</f>
        <v>#N/A</v>
      </c>
      <c r="L94" s="531" t="e">
        <f>IF(ISBLANK(Input!Q27),#N/A,L85)</f>
        <v>#N/A</v>
      </c>
      <c r="M94" s="531" t="e">
        <f>IF(ISBLANK(Input!R27),#N/A,M85)</f>
        <v>#N/A</v>
      </c>
      <c r="N94" s="531" t="e">
        <f>IF(ISBLANK(Input!S27),#N/A,N85)</f>
        <v>#N/A</v>
      </c>
      <c r="O94" s="538" t="e">
        <f>IF(ISBLANK(Input!T27),#N/A,O85)</f>
        <v>#N/A</v>
      </c>
    </row>
    <row r="95" spans="4:15" s="527" customFormat="1" ht="9.75">
      <c r="D95" s="527" t="str">
        <f>"Lower Boundary Slope (@"&amp;CL_busch*100&amp;"% C.L.)"</f>
        <v>Lower Boundary Slope (@90% C.L.)</v>
      </c>
      <c r="E95" s="1088">
        <f aca="true" t="shared" si="8" ref="E95:O95">intercept_steady*EXP(-$D$16*E94)</f>
        <v>7366.703898977036</v>
      </c>
      <c r="F95" s="1088">
        <f t="shared" si="8"/>
        <v>4594.374768487119</v>
      </c>
      <c r="G95" s="1088">
        <f t="shared" si="8"/>
        <v>3138.843382315298</v>
      </c>
      <c r="H95" s="1088">
        <f t="shared" si="8"/>
        <v>919.1466187859573</v>
      </c>
      <c r="I95" s="1088">
        <f t="shared" si="8"/>
        <v>1251.9557672153717</v>
      </c>
      <c r="J95" s="1088" t="e">
        <f t="shared" si="8"/>
        <v>#N/A</v>
      </c>
      <c r="K95" s="1088" t="e">
        <f t="shared" si="8"/>
        <v>#N/A</v>
      </c>
      <c r="L95" s="1088" t="e">
        <f t="shared" si="8"/>
        <v>#N/A</v>
      </c>
      <c r="M95" s="1088" t="e">
        <f t="shared" si="8"/>
        <v>#N/A</v>
      </c>
      <c r="N95" s="1088" t="e">
        <f t="shared" si="8"/>
        <v>#N/A</v>
      </c>
      <c r="O95" s="1088" t="e">
        <f t="shared" si="8"/>
        <v>#N/A</v>
      </c>
    </row>
    <row r="96" s="527" customFormat="1" ht="9.75"/>
    <row r="97" s="527" customFormat="1" ht="10.5" thickBot="1"/>
    <row r="98" spans="2:8" s="527" customFormat="1" ht="9.75">
      <c r="B98" s="1089" t="s">
        <v>422</v>
      </c>
      <c r="C98" s="1090"/>
      <c r="D98" s="529"/>
      <c r="E98" s="529"/>
      <c r="F98" s="529"/>
      <c r="G98" s="529"/>
      <c r="H98" s="536"/>
    </row>
    <row r="99" spans="2:8" s="527" customFormat="1" ht="9.75">
      <c r="B99" s="1091"/>
      <c r="C99" s="530"/>
      <c r="D99" s="530"/>
      <c r="E99" s="530"/>
      <c r="F99" s="530"/>
      <c r="G99" s="530"/>
      <c r="H99" s="537"/>
    </row>
    <row r="100" spans="2:8" s="527" customFormat="1" ht="10.5" thickBot="1">
      <c r="B100" s="1091" t="s">
        <v>427</v>
      </c>
      <c r="C100" s="530"/>
      <c r="D100" s="530"/>
      <c r="E100" s="530"/>
      <c r="F100" s="530"/>
      <c r="G100" s="530"/>
      <c r="H100" s="537"/>
    </row>
    <row r="101" spans="2:8" s="527" customFormat="1" ht="9.75">
      <c r="B101" s="1092"/>
      <c r="C101" s="1093"/>
      <c r="D101" s="1094"/>
      <c r="E101" s="1095" t="s">
        <v>285</v>
      </c>
      <c r="F101" s="1096" t="s">
        <v>268</v>
      </c>
      <c r="G101" s="530"/>
      <c r="H101" s="537"/>
    </row>
    <row r="102" spans="2:8" s="527" customFormat="1" ht="9.75">
      <c r="B102" s="1092"/>
      <c r="C102" s="1093"/>
      <c r="D102" s="1092"/>
      <c r="E102" s="1097" t="s">
        <v>266</v>
      </c>
      <c r="F102" s="1098">
        <f>C36</f>
        <v>200</v>
      </c>
      <c r="G102" s="530"/>
      <c r="H102" s="537"/>
    </row>
    <row r="103" spans="2:8" s="527" customFormat="1" ht="9.75">
      <c r="B103" s="1092"/>
      <c r="C103" s="1093"/>
      <c r="D103" s="1092"/>
      <c r="E103" s="1097" t="s">
        <v>283</v>
      </c>
      <c r="F103" s="1098">
        <f>C37</f>
        <v>15</v>
      </c>
      <c r="G103" s="530"/>
      <c r="H103" s="537"/>
    </row>
    <row r="104" spans="2:8" s="527" customFormat="1" ht="9.75">
      <c r="B104" s="1092"/>
      <c r="C104" s="1093"/>
      <c r="D104" s="1092"/>
      <c r="E104" s="1093" t="s">
        <v>416</v>
      </c>
      <c r="F104" s="1099">
        <f>TANH(F103/F102)</f>
        <v>0.0748596906874991</v>
      </c>
      <c r="G104" s="530"/>
      <c r="H104" s="537"/>
    </row>
    <row r="105" spans="2:8" s="527" customFormat="1" ht="9.75">
      <c r="B105" s="1092"/>
      <c r="C105" s="1093"/>
      <c r="D105" s="1092"/>
      <c r="E105" s="1093"/>
      <c r="F105" s="1099"/>
      <c r="G105" s="530"/>
      <c r="H105" s="537"/>
    </row>
    <row r="106" spans="2:8" s="527" customFormat="1" ht="9.75">
      <c r="B106" s="1092"/>
      <c r="C106" s="1093"/>
      <c r="D106" s="1092"/>
      <c r="E106" s="1097" t="s">
        <v>376</v>
      </c>
      <c r="F106" s="1099">
        <f>F103/SIN(F104)</f>
        <v>200.56213110693446</v>
      </c>
      <c r="G106" s="530"/>
      <c r="H106" s="537"/>
    </row>
    <row r="107" spans="2:8" s="527" customFormat="1" ht="9.75">
      <c r="B107" s="1092"/>
      <c r="C107" s="1093"/>
      <c r="D107" s="1092"/>
      <c r="E107" s="1097" t="s">
        <v>414</v>
      </c>
      <c r="F107" s="1099">
        <f>IF(ISBLANK(F103),"NA",IF(F103=0,F102,(COS(F104)^2*F106+9.18*SIN(F104)^2*F106)/COS(F104)))</f>
        <v>210.32789934121658</v>
      </c>
      <c r="G107" s="530"/>
      <c r="H107" s="537"/>
    </row>
    <row r="108" spans="2:8" s="527" customFormat="1" ht="9.75">
      <c r="B108" s="1092"/>
      <c r="C108" s="1093"/>
      <c r="D108" s="1092"/>
      <c r="E108" s="1097" t="s">
        <v>193</v>
      </c>
      <c r="F108" s="1099">
        <f>F106*SIN(F104)</f>
        <v>15</v>
      </c>
      <c r="G108" s="530"/>
      <c r="H108" s="537"/>
    </row>
    <row r="109" spans="2:8" s="527" customFormat="1" ht="10.5" thickBot="1">
      <c r="B109" s="1092"/>
      <c r="C109" s="1093"/>
      <c r="D109" s="1100"/>
      <c r="E109" s="1101" t="s">
        <v>205</v>
      </c>
      <c r="F109" s="1102">
        <f>F106*COS(F104)</f>
        <v>200.00042108494463</v>
      </c>
      <c r="G109" s="530"/>
      <c r="H109" s="537"/>
    </row>
    <row r="110" spans="2:8" s="527" customFormat="1" ht="9.75">
      <c r="B110" s="1091"/>
      <c r="C110" s="530"/>
      <c r="D110" s="530"/>
      <c r="E110" s="530"/>
      <c r="F110" s="530"/>
      <c r="G110" s="530"/>
      <c r="H110" s="537"/>
    </row>
    <row r="111" spans="2:8" s="527" customFormat="1" ht="9.75">
      <c r="B111" s="1091" t="s">
        <v>534</v>
      </c>
      <c r="C111" s="530"/>
      <c r="D111" s="530"/>
      <c r="E111" s="530"/>
      <c r="F111" s="530"/>
      <c r="G111" s="530"/>
      <c r="H111" s="537"/>
    </row>
    <row r="112" spans="2:8" s="527" customFormat="1" ht="9.75">
      <c r="B112" s="1103"/>
      <c r="C112" s="1104"/>
      <c r="D112" s="1104"/>
      <c r="E112" s="1105" t="s">
        <v>424</v>
      </c>
      <c r="F112" s="1106" t="s">
        <v>428</v>
      </c>
      <c r="G112" s="1104" t="s">
        <v>423</v>
      </c>
      <c r="H112" s="1107" t="s">
        <v>428</v>
      </c>
    </row>
    <row r="113" spans="2:8" s="527" customFormat="1" ht="9.75">
      <c r="B113" s="1108" t="s">
        <v>429</v>
      </c>
      <c r="C113" s="1109"/>
      <c r="D113" s="530"/>
      <c r="E113" s="532">
        <f>(steady_x-Vc*t_steady*SQRT(1+4*lambda_steady*alpha.x/Vc))/SQRT(4*alpha.x*t_steady*Vc)</f>
        <v>-8.391557422030159</v>
      </c>
      <c r="F113" s="532">
        <f>(steady_x-Vc*1E+99*SQRT(1+4*lambda_steady*alpha.x/Vc))/SQRT(4*alpha.x*t_steady*Vc)</f>
        <v>-2.2501372252249547E+98</v>
      </c>
      <c r="G113" s="532">
        <f>(steady_x-Vc*t_steady*SQRT(1+4*lambda_steady*alpha.x/Vc))/SQRT(4*alpha.x*t_steady*Vc)</f>
        <v>-8.391557422030159</v>
      </c>
      <c r="H113" s="539">
        <f>(steady_x-Vc*1E+99*SQRT(1+4*lambda_steady*alpha.x/Vc))/SQRT(4*alpha.x*t_steady*Vc)</f>
        <v>-2.2501372252249547E+98</v>
      </c>
    </row>
    <row r="114" spans="2:8" s="527" customFormat="1" ht="9.75">
      <c r="B114" s="1108" t="s">
        <v>430</v>
      </c>
      <c r="C114" s="1109"/>
      <c r="D114" s="530"/>
      <c r="E114" s="532">
        <v>1.999999999765357</v>
      </c>
      <c r="F114" s="532">
        <v>2</v>
      </c>
      <c r="G114" s="532">
        <v>1.999999999765357</v>
      </c>
      <c r="H114" s="539">
        <v>2</v>
      </c>
    </row>
    <row r="115" spans="2:10" s="527" customFormat="1" ht="9.75">
      <c r="B115" s="1108" t="s">
        <v>426</v>
      </c>
      <c r="C115" s="1109"/>
      <c r="D115" s="530"/>
      <c r="E115" s="532">
        <f>(Source_current/2)*EXP((steady_x/(2*alpha.x))*(1-SQRT(1+4*lambda_steady*alpha.x/Vc)))*E114</f>
        <v>279.5860108410487</v>
      </c>
      <c r="F115" s="532">
        <f>(Source_current/2)*EXP((steady_x/(2*alpha.x))*(1-SQRT(1+4*lambda_steady*alpha.x/Vc)))*F114</f>
        <v>279.5860108738501</v>
      </c>
      <c r="G115" s="532">
        <f>(source_backward/2)*EXP((steady_x/(2*alpha.x))*(1-SQRT(1+4*lambda_steady*alpha.x/Vc)))*G114</f>
        <v>137.86327170087378</v>
      </c>
      <c r="H115" s="539">
        <f>(source_backward/2)*EXP((steady_x/(2*alpha.x))*(1-SQRT(1+4*lambda_steady*alpha.x/Vc)))*H114</f>
        <v>137.8632717170481</v>
      </c>
      <c r="J115" s="527" t="s">
        <v>651</v>
      </c>
    </row>
    <row r="116" spans="2:10" s="527" customFormat="1" ht="9.75">
      <c r="B116" s="1110" t="s">
        <v>425</v>
      </c>
      <c r="C116" s="1111"/>
      <c r="D116" s="1112"/>
      <c r="E116" s="1113">
        <f>Source_current</f>
        <v>6500</v>
      </c>
      <c r="F116" s="1113">
        <f>Source_current</f>
        <v>6500</v>
      </c>
      <c r="G116" s="1114">
        <v>3205.136277598453</v>
      </c>
      <c r="H116" s="1115">
        <f>source_backward</f>
        <v>3205.136277598453</v>
      </c>
      <c r="J116" s="527">
        <f>TRUNC(source_backward,1)</f>
        <v>3205.1</v>
      </c>
    </row>
    <row r="117" spans="2:8" s="527" customFormat="1" ht="9.75">
      <c r="B117" s="1091"/>
      <c r="C117" s="530"/>
      <c r="D117" s="530"/>
      <c r="E117" s="530"/>
      <c r="F117" s="530" t="s">
        <v>277</v>
      </c>
      <c r="G117" s="533">
        <f>C_target-G115</f>
        <v>-37.86327170087378</v>
      </c>
      <c r="H117" s="537"/>
    </row>
    <row r="118" spans="2:8" s="527" customFormat="1" ht="10.5" thickBot="1">
      <c r="B118" s="1091"/>
      <c r="C118" s="530"/>
      <c r="D118" s="530"/>
      <c r="E118" s="530"/>
      <c r="F118" s="530"/>
      <c r="G118" s="533"/>
      <c r="H118" s="537"/>
    </row>
    <row r="119" spans="2:8" s="527" customFormat="1" ht="9.75">
      <c r="B119" s="1116" t="s">
        <v>531</v>
      </c>
      <c r="C119" s="529"/>
      <c r="D119" s="529"/>
      <c r="E119" s="536"/>
      <c r="F119" s="530"/>
      <c r="G119" s="533"/>
      <c r="H119" s="537"/>
    </row>
    <row r="120" spans="2:8" s="527" customFormat="1" ht="9.75">
      <c r="B120" s="1108" t="s">
        <v>429</v>
      </c>
      <c r="C120" s="530"/>
      <c r="D120" s="530"/>
      <c r="E120" s="537">
        <f>(steady_x-Vc*t_steady*SQRT(1+4*$E$27*alpha.x/Vc))/SQRT(4*alpha.x*t_steady*Vc)</f>
        <v>-6.859415752796721</v>
      </c>
      <c r="F120" s="530"/>
      <c r="G120" s="533"/>
      <c r="H120" s="537"/>
    </row>
    <row r="121" spans="2:8" s="527" customFormat="1" ht="9.75">
      <c r="B121" s="1108" t="s">
        <v>430</v>
      </c>
      <c r="C121" s="530"/>
      <c r="D121" s="530"/>
      <c r="E121" s="539">
        <v>1.9999999259917813</v>
      </c>
      <c r="F121" s="530"/>
      <c r="G121" s="533"/>
      <c r="H121" s="537"/>
    </row>
    <row r="122" spans="2:8" s="527" customFormat="1" ht="10.5" thickBot="1">
      <c r="B122" s="1117" t="s">
        <v>426</v>
      </c>
      <c r="C122" s="531"/>
      <c r="D122" s="531"/>
      <c r="E122" s="1118">
        <f>(Source_current/2)*EXP((steady_x/(2*alpha.x))*(1-SQRT(1+4*E27*alpha.x/Vc)))*E121</f>
        <v>1807.0164272229576</v>
      </c>
      <c r="F122" s="530"/>
      <c r="G122" s="533"/>
      <c r="H122" s="537"/>
    </row>
    <row r="123" spans="2:8" s="527" customFormat="1" ht="10.5" thickBot="1">
      <c r="B123" s="1108"/>
      <c r="C123" s="530"/>
      <c r="D123" s="530"/>
      <c r="E123" s="530"/>
      <c r="F123" s="530"/>
      <c r="G123" s="533"/>
      <c r="H123" s="537"/>
    </row>
    <row r="124" spans="2:8" s="527" customFormat="1" ht="9.75">
      <c r="B124" s="1116" t="s">
        <v>532</v>
      </c>
      <c r="C124" s="529"/>
      <c r="D124" s="529"/>
      <c r="E124" s="536"/>
      <c r="F124" s="530"/>
      <c r="G124" s="533"/>
      <c r="H124" s="537"/>
    </row>
    <row r="125" spans="2:8" s="527" customFormat="1" ht="9.75">
      <c r="B125" s="1108" t="s">
        <v>429</v>
      </c>
      <c r="C125" s="530"/>
      <c r="D125" s="530"/>
      <c r="E125" s="537" t="e">
        <f>(steady_x-(min_vgw/$D$8)*t_steady*SQRT(1+4*$E$27*alpha.x/(min_vgw/$D$8)))/SQRT(4*alpha.x*t_steady*(min_vgw/$D$8))</f>
        <v>#DIV/0!</v>
      </c>
      <c r="F125" s="530"/>
      <c r="G125" s="533"/>
      <c r="H125" s="537"/>
    </row>
    <row r="126" spans="2:8" s="527" customFormat="1" ht="9.75">
      <c r="B126" s="1108" t="s">
        <v>430</v>
      </c>
      <c r="C126" s="530"/>
      <c r="D126" s="530"/>
      <c r="E126" s="539" t="e">
        <v>#DIV/0!</v>
      </c>
      <c r="F126" s="530"/>
      <c r="G126" s="533"/>
      <c r="H126" s="537"/>
    </row>
    <row r="127" spans="2:8" s="527" customFormat="1" ht="10.5" thickBot="1">
      <c r="B127" s="1117" t="s">
        <v>426</v>
      </c>
      <c r="C127" s="531"/>
      <c r="D127" s="531"/>
      <c r="E127" s="1118" t="e">
        <f>(Source_current/2)*EXP((steady_x/(2*alpha.x))*(1-SQRT(1+4*E27*alpha.x/(min_vgw/$D$8))))*E126</f>
        <v>#DIV/0!</v>
      </c>
      <c r="F127" s="530"/>
      <c r="G127" s="533"/>
      <c r="H127" s="540" t="e">
        <f>(Source_current/2)*EXP((steady_x/(2*alpha.x))*(1-SQRT(1+4*E27*alpha.x/(min_vgw/Ret))))*E126</f>
        <v>#DIV/0!</v>
      </c>
    </row>
    <row r="128" spans="2:8" s="527" customFormat="1" ht="10.5" thickBot="1">
      <c r="B128" s="1117"/>
      <c r="C128" s="531"/>
      <c r="D128" s="531"/>
      <c r="E128" s="531"/>
      <c r="F128" s="531"/>
      <c r="G128" s="534"/>
      <c r="H128" s="538"/>
    </row>
    <row r="129" s="527" customFormat="1" ht="9.75"/>
    <row r="130" s="527" customFormat="1" ht="10.5" thickBot="1"/>
    <row r="131" spans="2:16" s="527" customFormat="1" ht="10.5" thickBot="1">
      <c r="B131" s="1119" t="s">
        <v>431</v>
      </c>
      <c r="C131" s="529"/>
      <c r="D131" s="529"/>
      <c r="E131" s="529"/>
      <c r="F131" s="529"/>
      <c r="G131" s="529"/>
      <c r="H131" s="529"/>
      <c r="I131" s="529"/>
      <c r="J131" s="529"/>
      <c r="K131" s="529"/>
      <c r="L131" s="529"/>
      <c r="M131" s="529"/>
      <c r="N131" s="529"/>
      <c r="O131" s="529"/>
      <c r="P131" s="536"/>
    </row>
    <row r="132" spans="2:16" s="527" customFormat="1" ht="9.75">
      <c r="B132" s="1119" t="s">
        <v>530</v>
      </c>
      <c r="C132" s="529"/>
      <c r="D132" s="529" t="s">
        <v>432</v>
      </c>
      <c r="E132" s="529">
        <f>$C$36*0.00001</f>
        <v>0.002</v>
      </c>
      <c r="F132" s="529">
        <f>$C$36*0.1</f>
        <v>20</v>
      </c>
      <c r="G132" s="529">
        <f>$C$36*0.2</f>
        <v>40</v>
      </c>
      <c r="H132" s="529">
        <f>$C$36*0.3</f>
        <v>60</v>
      </c>
      <c r="I132" s="529">
        <f>$C$36*0.4</f>
        <v>80</v>
      </c>
      <c r="J132" s="529">
        <f>$C$36*0.5</f>
        <v>100</v>
      </c>
      <c r="K132" s="529">
        <f>$C$36*0.6</f>
        <v>120</v>
      </c>
      <c r="L132" s="529">
        <f>$C$36*0.7</f>
        <v>140</v>
      </c>
      <c r="M132" s="529">
        <f>$C$36*0.8</f>
        <v>160</v>
      </c>
      <c r="N132" s="529">
        <f>$C$36*0.9</f>
        <v>180</v>
      </c>
      <c r="O132" s="529">
        <f>$C$36*1</f>
        <v>200</v>
      </c>
      <c r="P132" s="536">
        <f>$C$36*1.2</f>
        <v>240</v>
      </c>
    </row>
    <row r="133" spans="2:16" s="527" customFormat="1" ht="9.75">
      <c r="B133" s="1108" t="s">
        <v>429</v>
      </c>
      <c r="C133" s="1109"/>
      <c r="D133" s="530"/>
      <c r="E133" s="530">
        <f aca="true" t="shared" si="9" ref="E133:P133">(E132-Vc*t_steady*SQRT(1+4*lambda_steady*alpha.x/Vc))/SQRT(4*alpha.x*t_steady*Vc)</f>
        <v>-9.000543110022996</v>
      </c>
      <c r="F133" s="530">
        <f t="shared" si="9"/>
        <v>-8.942640132659646</v>
      </c>
      <c r="G133" s="530">
        <f t="shared" si="9"/>
        <v>-8.884731364419471</v>
      </c>
      <c r="H133" s="530">
        <f t="shared" si="9"/>
        <v>-8.826822596179296</v>
      </c>
      <c r="I133" s="530">
        <f t="shared" si="9"/>
        <v>-8.768913827939123</v>
      </c>
      <c r="J133" s="530">
        <f t="shared" si="9"/>
        <v>-8.711005059698948</v>
      </c>
      <c r="K133" s="530">
        <f t="shared" si="9"/>
        <v>-8.653096291458773</v>
      </c>
      <c r="L133" s="530">
        <f t="shared" si="9"/>
        <v>-8.5951875232186</v>
      </c>
      <c r="M133" s="530">
        <f t="shared" si="9"/>
        <v>-8.537278754978425</v>
      </c>
      <c r="N133" s="530">
        <f t="shared" si="9"/>
        <v>-8.47936998673825</v>
      </c>
      <c r="O133" s="530">
        <f t="shared" si="9"/>
        <v>-8.421461218498077</v>
      </c>
      <c r="P133" s="537">
        <f t="shared" si="9"/>
        <v>-8.305643682017728</v>
      </c>
    </row>
    <row r="134" spans="2:16" s="527" customFormat="1" ht="9.75">
      <c r="B134" s="1108" t="s">
        <v>430</v>
      </c>
      <c r="C134" s="1109"/>
      <c r="D134" s="530"/>
      <c r="E134" s="530">
        <v>1.9999999999999933</v>
      </c>
      <c r="F134" s="530">
        <v>1.9999999999999805</v>
      </c>
      <c r="G134" s="530">
        <v>1.9999999999999434</v>
      </c>
      <c r="H134" s="530">
        <v>1.9999999999998384</v>
      </c>
      <c r="I134" s="530">
        <v>1.9999999999995475</v>
      </c>
      <c r="J134" s="530">
        <v>1.9999999999987559</v>
      </c>
      <c r="K134" s="530">
        <v>1.9999999999966442</v>
      </c>
      <c r="L134" s="530">
        <v>1.999999999991117</v>
      </c>
      <c r="M134" s="530">
        <v>1.9999999999769238</v>
      </c>
      <c r="N134" s="530">
        <v>1.9999999999411677</v>
      </c>
      <c r="O134" s="530">
        <v>1.999999999852797</v>
      </c>
      <c r="P134" s="537">
        <v>1.999999999128852</v>
      </c>
    </row>
    <row r="135" spans="2:16" s="527" customFormat="1" ht="10.5" thickBot="1">
      <c r="B135" s="1117" t="s">
        <v>426</v>
      </c>
      <c r="C135" s="1120"/>
      <c r="D135" s="531"/>
      <c r="E135" s="531">
        <f aca="true" t="shared" si="10" ref="E135:P135">(Source_current/2)*EXP((E132/(2*alpha.x))*(1-SQRT(1+4*lambda_steady*alpha.x/Vc)))*E134</f>
        <v>6499.805538848916</v>
      </c>
      <c r="F135" s="531">
        <f t="shared" si="10"/>
        <v>4819.290413039729</v>
      </c>
      <c r="G135" s="531">
        <f t="shared" si="10"/>
        <v>3573.163090033299</v>
      </c>
      <c r="H135" s="531">
        <f t="shared" si="10"/>
        <v>2649.2477883114084</v>
      </c>
      <c r="I135" s="531">
        <f t="shared" si="10"/>
        <v>1964.2299181498684</v>
      </c>
      <c r="J135" s="531">
        <f t="shared" si="10"/>
        <v>1456.3376020833566</v>
      </c>
      <c r="K135" s="531">
        <f t="shared" si="10"/>
        <v>1079.771360594192</v>
      </c>
      <c r="L135" s="531">
        <f t="shared" si="10"/>
        <v>800.5741179034036</v>
      </c>
      <c r="M135" s="531">
        <f t="shared" si="10"/>
        <v>593.5691032788105</v>
      </c>
      <c r="N135" s="531">
        <f t="shared" si="10"/>
        <v>440.0895213626224</v>
      </c>
      <c r="O135" s="531">
        <f t="shared" si="10"/>
        <v>326.29526324437484</v>
      </c>
      <c r="P135" s="538">
        <f t="shared" si="10"/>
        <v>179.3701831777702</v>
      </c>
    </row>
    <row r="136" spans="2:16" s="527" customFormat="1" ht="9.75">
      <c r="B136" s="1108"/>
      <c r="C136" s="1109"/>
      <c r="D136" s="530"/>
      <c r="E136" s="530"/>
      <c r="F136" s="530"/>
      <c r="G136" s="530"/>
      <c r="H136" s="530"/>
      <c r="I136" s="530"/>
      <c r="J136" s="530"/>
      <c r="K136" s="530"/>
      <c r="L136" s="530"/>
      <c r="M136" s="530"/>
      <c r="N136" s="530"/>
      <c r="O136" s="530"/>
      <c r="P136" s="537"/>
    </row>
    <row r="137" spans="2:16" s="527" customFormat="1" ht="10.5" thickBot="1">
      <c r="B137" s="1108"/>
      <c r="C137" s="1109"/>
      <c r="D137" s="530"/>
      <c r="E137" s="530"/>
      <c r="F137" s="530"/>
      <c r="G137" s="530"/>
      <c r="H137" s="530"/>
      <c r="I137" s="530"/>
      <c r="J137" s="530"/>
      <c r="K137" s="530"/>
      <c r="L137" s="530"/>
      <c r="M137" s="530"/>
      <c r="N137" s="530"/>
      <c r="O137" s="530"/>
      <c r="P137" s="537"/>
    </row>
    <row r="138" spans="2:16" s="527" customFormat="1" ht="9.75">
      <c r="B138" s="1116" t="s">
        <v>531</v>
      </c>
      <c r="C138" s="1121"/>
      <c r="D138" s="529"/>
      <c r="E138" s="529"/>
      <c r="F138" s="529"/>
      <c r="G138" s="529"/>
      <c r="H138" s="529"/>
      <c r="I138" s="529"/>
      <c r="J138" s="529"/>
      <c r="K138" s="529"/>
      <c r="L138" s="529"/>
      <c r="M138" s="529"/>
      <c r="N138" s="529"/>
      <c r="O138" s="529"/>
      <c r="P138" s="536"/>
    </row>
    <row r="139" spans="2:16" s="527" customFormat="1" ht="9.75">
      <c r="B139" s="1108" t="s">
        <v>429</v>
      </c>
      <c r="C139" s="1109"/>
      <c r="D139" s="530"/>
      <c r="E139" s="530">
        <f aca="true" t="shared" si="11" ref="E139:P139">(E132-Vc*t_steady*SQRT(1+4*$E$27*alpha.x/Vc))/SQRT(4*alpha.x*t_steady*Vc)</f>
        <v>-7.468401440789558</v>
      </c>
      <c r="F139" s="530">
        <f t="shared" si="11"/>
        <v>-7.410498463426207</v>
      </c>
      <c r="G139" s="530">
        <f t="shared" si="11"/>
        <v>-7.352589695186033</v>
      </c>
      <c r="H139" s="530">
        <f t="shared" si="11"/>
        <v>-7.294680926945859</v>
      </c>
      <c r="I139" s="530">
        <f t="shared" si="11"/>
        <v>-7.236772158705684</v>
      </c>
      <c r="J139" s="530">
        <f t="shared" si="11"/>
        <v>-7.17886339046551</v>
      </c>
      <c r="K139" s="530">
        <f t="shared" si="11"/>
        <v>-7.120954622225336</v>
      </c>
      <c r="L139" s="530">
        <f t="shared" si="11"/>
        <v>-7.0630458539851615</v>
      </c>
      <c r="M139" s="530">
        <f t="shared" si="11"/>
        <v>-7.0051370857449875</v>
      </c>
      <c r="N139" s="530">
        <f t="shared" si="11"/>
        <v>-6.947228317504813</v>
      </c>
      <c r="O139" s="530">
        <f t="shared" si="11"/>
        <v>-6.889319549264639</v>
      </c>
      <c r="P139" s="537">
        <f t="shared" si="11"/>
        <v>-6.77350201278429</v>
      </c>
    </row>
    <row r="140" spans="2:16" s="527" customFormat="1" ht="9.75">
      <c r="B140" s="1108" t="s">
        <v>430</v>
      </c>
      <c r="C140" s="1109"/>
      <c r="D140" s="530"/>
      <c r="E140" s="530">
        <f>IF(E139&gt;10,0,IF(E139&lt;-10,2,IF(E139&lt;0,1+ERF(ABS(E139)),ERFC(E139))))</f>
        <v>2</v>
      </c>
      <c r="F140" s="530">
        <f aca="true" t="shared" si="12" ref="F140:P140">IF(F133&gt;10,0,IF(F133&lt;-10,2,IF(F133&lt;0,1+ERF(ABS(F133)),ERFC(F133))))</f>
        <v>2</v>
      </c>
      <c r="G140" s="530">
        <f t="shared" si="12"/>
        <v>2</v>
      </c>
      <c r="H140" s="530">
        <f t="shared" si="12"/>
        <v>2</v>
      </c>
      <c r="I140" s="530">
        <f t="shared" si="12"/>
        <v>2</v>
      </c>
      <c r="J140" s="530">
        <f t="shared" si="12"/>
        <v>2</v>
      </c>
      <c r="K140" s="530">
        <f t="shared" si="12"/>
        <v>2</v>
      </c>
      <c r="L140" s="530">
        <f t="shared" si="12"/>
        <v>2</v>
      </c>
      <c r="M140" s="530">
        <f t="shared" si="12"/>
        <v>2</v>
      </c>
      <c r="N140" s="530">
        <f t="shared" si="12"/>
        <v>2</v>
      </c>
      <c r="O140" s="530">
        <f t="shared" si="12"/>
        <v>2</v>
      </c>
      <c r="P140" s="537">
        <f t="shared" si="12"/>
        <v>2</v>
      </c>
    </row>
    <row r="141" spans="2:16" s="527" customFormat="1" ht="10.5" thickBot="1">
      <c r="B141" s="1117" t="s">
        <v>426</v>
      </c>
      <c r="C141" s="1120"/>
      <c r="D141" s="531"/>
      <c r="E141" s="531">
        <f>(Source_current/2)*EXP((E132/(2*alpha.x))*(1-SQRT(1+4*$E$27*alpha.x/Vc)))*E140</f>
        <v>6499.92087818947</v>
      </c>
      <c r="F141" s="531">
        <f aca="true" t="shared" si="13" ref="F141:P141">(Source_current/2)*EXP((F132/(2*alpha.x))*(1-SQRT(1+4*$E$27*alpha.x/Vc)))*F134</f>
        <v>5755.037588956919</v>
      </c>
      <c r="G141" s="531">
        <f t="shared" si="13"/>
        <v>5095.45502312412</v>
      </c>
      <c r="H141" s="531">
        <f t="shared" si="13"/>
        <v>4511.466952448832</v>
      </c>
      <c r="I141" s="531">
        <f t="shared" si="13"/>
        <v>3994.409521950219</v>
      </c>
      <c r="J141" s="531">
        <f t="shared" si="13"/>
        <v>3536.6118376157037</v>
      </c>
      <c r="K141" s="531">
        <f t="shared" si="13"/>
        <v>3131.282163539552</v>
      </c>
      <c r="L141" s="531">
        <f t="shared" si="13"/>
        <v>2772.4071619616684</v>
      </c>
      <c r="M141" s="531">
        <f t="shared" si="13"/>
        <v>2454.6626813645694</v>
      </c>
      <c r="N141" s="531">
        <f t="shared" si="13"/>
        <v>2173.3347691093013</v>
      </c>
      <c r="O141" s="531">
        <f t="shared" si="13"/>
        <v>1924.2497367782314</v>
      </c>
      <c r="P141" s="538">
        <f t="shared" si="13"/>
        <v>1508.450458994318</v>
      </c>
    </row>
    <row r="142" spans="2:16" s="527" customFormat="1" ht="9.75">
      <c r="B142" s="1108"/>
      <c r="C142" s="1109"/>
      <c r="D142" s="530"/>
      <c r="E142" s="530"/>
      <c r="F142" s="530"/>
      <c r="G142" s="530"/>
      <c r="H142" s="530"/>
      <c r="I142" s="530"/>
      <c r="J142" s="530"/>
      <c r="K142" s="530"/>
      <c r="L142" s="530"/>
      <c r="M142" s="530"/>
      <c r="N142" s="530"/>
      <c r="O142" s="530"/>
      <c r="P142" s="537"/>
    </row>
    <row r="143" spans="2:16" s="527" customFormat="1" ht="10.5" thickBot="1">
      <c r="B143" s="1108"/>
      <c r="C143" s="1109"/>
      <c r="D143" s="530"/>
      <c r="E143" s="530"/>
      <c r="F143" s="530"/>
      <c r="G143" s="530"/>
      <c r="H143" s="530"/>
      <c r="I143" s="530"/>
      <c r="J143" s="530"/>
      <c r="K143" s="530"/>
      <c r="L143" s="530"/>
      <c r="M143" s="530"/>
      <c r="N143" s="530"/>
      <c r="O143" s="530"/>
      <c r="P143" s="537"/>
    </row>
    <row r="144" spans="2:16" s="527" customFormat="1" ht="9.75">
      <c r="B144" s="1116" t="s">
        <v>532</v>
      </c>
      <c r="C144" s="1121"/>
      <c r="D144" s="529"/>
      <c r="E144" s="529"/>
      <c r="F144" s="529"/>
      <c r="G144" s="529"/>
      <c r="H144" s="529"/>
      <c r="I144" s="529"/>
      <c r="J144" s="529"/>
      <c r="K144" s="529"/>
      <c r="L144" s="529"/>
      <c r="M144" s="529"/>
      <c r="N144" s="529"/>
      <c r="O144" s="529"/>
      <c r="P144" s="536"/>
    </row>
    <row r="145" spans="2:16" s="527" customFormat="1" ht="9.75">
      <c r="B145" s="1108" t="s">
        <v>429</v>
      </c>
      <c r="C145" s="1109"/>
      <c r="D145" s="530"/>
      <c r="E145" s="530" t="e">
        <f aca="true" t="shared" si="14" ref="E145:P145">(E132-(min_vgw/$D$8)*t_steady*SQRT(1+4*$F$27*alpha.x/(min_vgw/$D$8)))/SQRT(4*alpha.x*t_steady*(min_vgw/$D$8))</f>
        <v>#DIV/0!</v>
      </c>
      <c r="F145" s="530" t="e">
        <f t="shared" si="14"/>
        <v>#DIV/0!</v>
      </c>
      <c r="G145" s="530" t="e">
        <f t="shared" si="14"/>
        <v>#DIV/0!</v>
      </c>
      <c r="H145" s="530" t="e">
        <f t="shared" si="14"/>
        <v>#DIV/0!</v>
      </c>
      <c r="I145" s="530" t="e">
        <f t="shared" si="14"/>
        <v>#DIV/0!</v>
      </c>
      <c r="J145" s="530" t="e">
        <f t="shared" si="14"/>
        <v>#DIV/0!</v>
      </c>
      <c r="K145" s="530" t="e">
        <f t="shared" si="14"/>
        <v>#DIV/0!</v>
      </c>
      <c r="L145" s="530" t="e">
        <f t="shared" si="14"/>
        <v>#DIV/0!</v>
      </c>
      <c r="M145" s="530" t="e">
        <f t="shared" si="14"/>
        <v>#DIV/0!</v>
      </c>
      <c r="N145" s="530" t="e">
        <f t="shared" si="14"/>
        <v>#DIV/0!</v>
      </c>
      <c r="O145" s="530" t="e">
        <f t="shared" si="14"/>
        <v>#DIV/0!</v>
      </c>
      <c r="P145" s="537" t="e">
        <f t="shared" si="14"/>
        <v>#DIV/0!</v>
      </c>
    </row>
    <row r="146" spans="2:16" s="527" customFormat="1" ht="9.75">
      <c r="B146" s="1108" t="s">
        <v>430</v>
      </c>
      <c r="C146" s="1109"/>
      <c r="D146" s="530"/>
      <c r="E146" s="530" t="e">
        <f aca="true" t="shared" si="15" ref="E146:P146">IF(E145&gt;10,0,IF(E145&lt;-10,2,IF(E145&lt;0,1+ERF(ABS(E145)),ERFC(E145))))</f>
        <v>#DIV/0!</v>
      </c>
      <c r="F146" s="530" t="e">
        <f t="shared" si="15"/>
        <v>#DIV/0!</v>
      </c>
      <c r="G146" s="530" t="e">
        <f t="shared" si="15"/>
        <v>#DIV/0!</v>
      </c>
      <c r="H146" s="530" t="e">
        <f t="shared" si="15"/>
        <v>#DIV/0!</v>
      </c>
      <c r="I146" s="530" t="e">
        <f t="shared" si="15"/>
        <v>#DIV/0!</v>
      </c>
      <c r="J146" s="530" t="e">
        <f t="shared" si="15"/>
        <v>#DIV/0!</v>
      </c>
      <c r="K146" s="530" t="e">
        <f t="shared" si="15"/>
        <v>#DIV/0!</v>
      </c>
      <c r="L146" s="530" t="e">
        <f t="shared" si="15"/>
        <v>#DIV/0!</v>
      </c>
      <c r="M146" s="530" t="e">
        <f t="shared" si="15"/>
        <v>#DIV/0!</v>
      </c>
      <c r="N146" s="530" t="e">
        <f t="shared" si="15"/>
        <v>#DIV/0!</v>
      </c>
      <c r="O146" s="530" t="e">
        <f t="shared" si="15"/>
        <v>#DIV/0!</v>
      </c>
      <c r="P146" s="537" t="e">
        <f t="shared" si="15"/>
        <v>#DIV/0!</v>
      </c>
    </row>
    <row r="147" spans="2:16" s="527" customFormat="1" ht="10.5" thickBot="1">
      <c r="B147" s="1117" t="s">
        <v>426</v>
      </c>
      <c r="C147" s="1120"/>
      <c r="D147" s="531"/>
      <c r="E147" s="531" t="e">
        <f aca="true" t="shared" si="16" ref="E147:P147">(Source_current/2)*EXP((E132/(2*alpha.x))*(1-SQRT(1+4*$F$27*alpha.x/(min_vgw/$D$8))))*E146</f>
        <v>#DIV/0!</v>
      </c>
      <c r="F147" s="531" t="e">
        <f t="shared" si="16"/>
        <v>#DIV/0!</v>
      </c>
      <c r="G147" s="531" t="e">
        <f t="shared" si="16"/>
        <v>#DIV/0!</v>
      </c>
      <c r="H147" s="531" t="e">
        <f t="shared" si="16"/>
        <v>#DIV/0!</v>
      </c>
      <c r="I147" s="531" t="e">
        <f t="shared" si="16"/>
        <v>#DIV/0!</v>
      </c>
      <c r="J147" s="531" t="e">
        <f t="shared" si="16"/>
        <v>#DIV/0!</v>
      </c>
      <c r="K147" s="531" t="e">
        <f t="shared" si="16"/>
        <v>#DIV/0!</v>
      </c>
      <c r="L147" s="531" t="e">
        <f t="shared" si="16"/>
        <v>#DIV/0!</v>
      </c>
      <c r="M147" s="531" t="e">
        <f t="shared" si="16"/>
        <v>#DIV/0!</v>
      </c>
      <c r="N147" s="531" t="e">
        <f t="shared" si="16"/>
        <v>#DIV/0!</v>
      </c>
      <c r="O147" s="531" t="e">
        <f t="shared" si="16"/>
        <v>#DIV/0!</v>
      </c>
      <c r="P147" s="538" t="e">
        <f t="shared" si="16"/>
        <v>#DIV/0!</v>
      </c>
    </row>
    <row r="148" spans="2:16" s="527" customFormat="1" ht="9.75">
      <c r="B148" s="1109"/>
      <c r="C148" s="1109"/>
      <c r="D148" s="530"/>
      <c r="E148" s="530"/>
      <c r="F148" s="530"/>
      <c r="G148" s="530"/>
      <c r="H148" s="530"/>
      <c r="I148" s="530"/>
      <c r="J148" s="530"/>
      <c r="K148" s="530"/>
      <c r="L148" s="530"/>
      <c r="M148" s="530"/>
      <c r="N148" s="530"/>
      <c r="O148" s="530"/>
      <c r="P148" s="530"/>
    </row>
    <row r="149" spans="2:5" s="527" customFormat="1" ht="9.75">
      <c r="B149" s="1109"/>
      <c r="C149" s="1109"/>
      <c r="D149" s="530"/>
      <c r="E149" s="530"/>
    </row>
    <row r="150" s="527" customFormat="1" ht="10.5" thickBot="1"/>
    <row r="151" spans="2:15" s="527" customFormat="1" ht="9.75">
      <c r="B151" s="1119" t="s">
        <v>433</v>
      </c>
      <c r="C151" s="529"/>
      <c r="D151" s="529"/>
      <c r="E151" s="529"/>
      <c r="F151" s="529"/>
      <c r="G151" s="529"/>
      <c r="H151" s="529"/>
      <c r="I151" s="529"/>
      <c r="J151" s="529"/>
      <c r="K151" s="529"/>
      <c r="L151" s="529"/>
      <c r="M151" s="529"/>
      <c r="N151" s="529"/>
      <c r="O151" s="536"/>
    </row>
    <row r="152" spans="2:15" s="527" customFormat="1" ht="9.75">
      <c r="B152" s="1122" t="s">
        <v>530</v>
      </c>
      <c r="C152" s="530"/>
      <c r="D152" s="530" t="s">
        <v>434</v>
      </c>
      <c r="E152" s="530">
        <f>t_steady*0.0001</f>
        <v>0.004</v>
      </c>
      <c r="F152" s="530">
        <f>t_steady*0.1</f>
        <v>4</v>
      </c>
      <c r="G152" s="530">
        <f>t_steady*0.2</f>
        <v>8</v>
      </c>
      <c r="H152" s="530">
        <f>t_steady*0.3</f>
        <v>12</v>
      </c>
      <c r="I152" s="530">
        <f>t_steady*0.4</f>
        <v>16</v>
      </c>
      <c r="J152" s="530">
        <f>t_steady*0.5</f>
        <v>20</v>
      </c>
      <c r="K152" s="530">
        <f>t_steady*0.6</f>
        <v>24</v>
      </c>
      <c r="L152" s="530">
        <f>t_steady*0.7</f>
        <v>28</v>
      </c>
      <c r="M152" s="530">
        <f>t_steady*0.8</f>
        <v>32</v>
      </c>
      <c r="N152" s="530">
        <f>t_steady*0.9</f>
        <v>36</v>
      </c>
      <c r="O152" s="537">
        <f>t_steady*1</f>
        <v>40</v>
      </c>
    </row>
    <row r="153" spans="2:15" s="527" customFormat="1" ht="9.75">
      <c r="B153" s="1108" t="s">
        <v>429</v>
      </c>
      <c r="C153" s="1109"/>
      <c r="D153" s="530"/>
      <c r="E153" s="532">
        <f aca="true" t="shared" si="17" ref="E153:O153">(steady_x-Vc*E152*SQRT(1+4*lambda_steady*alpha.x/Vc))/SQRT(4*alpha.x*E152*Vc)</f>
        <v>60.80914239795712</v>
      </c>
      <c r="F153" s="532">
        <f t="shared" si="17"/>
        <v>-0.9204233229944226</v>
      </c>
      <c r="G153" s="532">
        <f t="shared" si="17"/>
        <v>-2.663421490973913</v>
      </c>
      <c r="H153" s="532">
        <f t="shared" si="17"/>
        <v>-3.8179424286000128</v>
      </c>
      <c r="I153" s="532">
        <f t="shared" si="17"/>
        <v>-4.729546869282495</v>
      </c>
      <c r="J153" s="532">
        <f t="shared" si="17"/>
        <v>-5.503105153440266</v>
      </c>
      <c r="K153" s="532">
        <f t="shared" si="17"/>
        <v>-6.185590581433952</v>
      </c>
      <c r="L153" s="532">
        <f t="shared" si="17"/>
        <v>-6.802515443862206</v>
      </c>
      <c r="M153" s="532">
        <f t="shared" si="17"/>
        <v>-7.369462498653862</v>
      </c>
      <c r="N153" s="532">
        <f t="shared" si="17"/>
        <v>-7.896737032616423</v>
      </c>
      <c r="O153" s="539">
        <f t="shared" si="17"/>
        <v>-8.391557422030159</v>
      </c>
    </row>
    <row r="154" spans="2:15" s="527" customFormat="1" ht="9.75">
      <c r="B154" s="1108" t="s">
        <v>430</v>
      </c>
      <c r="C154" s="1109"/>
      <c r="D154" s="530"/>
      <c r="E154" s="532">
        <v>0</v>
      </c>
      <c r="F154" s="532">
        <v>0.032409094932696725</v>
      </c>
      <c r="G154" s="532">
        <v>1.181697882761287</v>
      </c>
      <c r="H154" s="532">
        <v>1.8926650089584238</v>
      </c>
      <c r="I154" s="532">
        <v>1.9913771979910535</v>
      </c>
      <c r="J154" s="532">
        <v>1.9994422813157025</v>
      </c>
      <c r="K154" s="532">
        <v>1.9999677094008195</v>
      </c>
      <c r="L154" s="532">
        <v>1.9999982446340399</v>
      </c>
      <c r="M154" s="532">
        <v>1.999999908201687</v>
      </c>
      <c r="N154" s="532">
        <v>1.9999999953189036</v>
      </c>
      <c r="O154" s="539">
        <v>1.999999999765357</v>
      </c>
    </row>
    <row r="155" spans="2:15" s="527" customFormat="1" ht="9.75">
      <c r="B155" s="1108" t="s">
        <v>426</v>
      </c>
      <c r="C155" s="1109"/>
      <c r="D155" s="530"/>
      <c r="E155" s="532">
        <f aca="true" t="shared" si="18" ref="E155:O155">(Source_current/2)*EXP((steady_x/(2*alpha.x))*(1-SQRT(1+4*lambda_steady*alpha.x/Vc)))*E154</f>
        <v>0</v>
      </c>
      <c r="F155" s="532">
        <f t="shared" si="18"/>
        <v>4.530564784132293</v>
      </c>
      <c r="G155" s="532">
        <f t="shared" si="18"/>
        <v>165.1930985496514</v>
      </c>
      <c r="H155" s="532">
        <f t="shared" si="18"/>
        <v>264.58132988760275</v>
      </c>
      <c r="I155" s="532">
        <f t="shared" si="18"/>
        <v>278.38060346573195</v>
      </c>
      <c r="J155" s="532">
        <f t="shared" si="18"/>
        <v>279.5080457027838</v>
      </c>
      <c r="K155" s="532">
        <f t="shared" si="18"/>
        <v>279.5814968739433</v>
      </c>
      <c r="L155" s="532">
        <f t="shared" si="18"/>
        <v>279.58576548596693</v>
      </c>
      <c r="M155" s="532">
        <f t="shared" si="18"/>
        <v>279.58599804108803</v>
      </c>
      <c r="N155" s="532">
        <f t="shared" si="18"/>
        <v>279.5860102194656</v>
      </c>
      <c r="O155" s="539">
        <f t="shared" si="18"/>
        <v>279.5860108410487</v>
      </c>
    </row>
    <row r="156" spans="2:15" s="527" customFormat="1" ht="9.75">
      <c r="B156" s="1108"/>
      <c r="C156" s="1109"/>
      <c r="D156" s="530"/>
      <c r="E156" s="533"/>
      <c r="F156" s="533"/>
      <c r="G156" s="533"/>
      <c r="H156" s="533"/>
      <c r="I156" s="533"/>
      <c r="J156" s="533"/>
      <c r="K156" s="533"/>
      <c r="L156" s="533"/>
      <c r="M156" s="533"/>
      <c r="N156" s="533"/>
      <c r="O156" s="540"/>
    </row>
    <row r="157" spans="2:15" s="527" customFormat="1" ht="5.25" customHeight="1">
      <c r="B157" s="1108"/>
      <c r="C157" s="1109"/>
      <c r="D157" s="530"/>
      <c r="E157" s="533"/>
      <c r="F157" s="533"/>
      <c r="G157" s="533"/>
      <c r="H157" s="533"/>
      <c r="I157" s="533"/>
      <c r="J157" s="533"/>
      <c r="K157" s="533"/>
      <c r="L157" s="533"/>
      <c r="M157" s="533"/>
      <c r="N157" s="533"/>
      <c r="O157" s="540"/>
    </row>
    <row r="158" spans="2:15" s="527" customFormat="1" ht="10.5" thickBot="1">
      <c r="B158" s="1108"/>
      <c r="C158" s="1109"/>
      <c r="D158" s="530"/>
      <c r="E158" s="533"/>
      <c r="F158" s="533"/>
      <c r="G158" s="533"/>
      <c r="H158" s="533"/>
      <c r="I158" s="533"/>
      <c r="J158" s="533"/>
      <c r="K158" s="533"/>
      <c r="L158" s="533"/>
      <c r="M158" s="533"/>
      <c r="N158" s="533"/>
      <c r="O158" s="540"/>
    </row>
    <row r="159" spans="2:15" s="527" customFormat="1" ht="9.75">
      <c r="B159" s="1116" t="s">
        <v>531</v>
      </c>
      <c r="C159" s="1109"/>
      <c r="D159" s="530"/>
      <c r="E159" s="533"/>
      <c r="F159" s="533"/>
      <c r="G159" s="533"/>
      <c r="H159" s="533"/>
      <c r="I159" s="533"/>
      <c r="J159" s="533"/>
      <c r="K159" s="533"/>
      <c r="L159" s="533"/>
      <c r="M159" s="533"/>
      <c r="N159" s="533"/>
      <c r="O159" s="540"/>
    </row>
    <row r="160" spans="2:15" s="527" customFormat="1" ht="9.75">
      <c r="B160" s="1108" t="s">
        <v>429</v>
      </c>
      <c r="C160" s="1109"/>
      <c r="D160" s="530"/>
      <c r="E160" s="532">
        <f aca="true" t="shared" si="19" ref="E160:O160">(steady_x-Vc*E152*SQRT(1+4*$E$27*alpha.x/Vc))/SQRT(4*alpha.x*E152*Vc)</f>
        <v>60.82446381464945</v>
      </c>
      <c r="F160" s="532">
        <f t="shared" si="19"/>
        <v>-0.4359175857114234</v>
      </c>
      <c r="G160" s="532">
        <f t="shared" si="19"/>
        <v>-1.97822690626072</v>
      </c>
      <c r="H160" s="532">
        <f t="shared" si="19"/>
        <v>-2.97875387506724</v>
      </c>
      <c r="I160" s="532">
        <f t="shared" si="19"/>
        <v>-3.7605353947164963</v>
      </c>
      <c r="J160" s="532">
        <f t="shared" si="19"/>
        <v>-4.419717389386826</v>
      </c>
      <c r="K160" s="532">
        <f t="shared" si="19"/>
        <v>-4.998798747639645</v>
      </c>
      <c r="L160" s="532">
        <f t="shared" si="19"/>
        <v>-5.520633754227395</v>
      </c>
      <c r="M160" s="532">
        <f t="shared" si="19"/>
        <v>-5.999073329227474</v>
      </c>
      <c r="N160" s="532">
        <f t="shared" si="19"/>
        <v>-6.4432198207674265</v>
      </c>
      <c r="O160" s="532">
        <f t="shared" si="19"/>
        <v>-6.859415752796721</v>
      </c>
    </row>
    <row r="161" spans="2:15" s="527" customFormat="1" ht="9.75">
      <c r="B161" s="1108" t="s">
        <v>430</v>
      </c>
      <c r="C161" s="1109"/>
      <c r="D161" s="530"/>
      <c r="E161" s="532">
        <v>0</v>
      </c>
      <c r="F161" s="532">
        <v>0.014625699460734776</v>
      </c>
      <c r="G161" s="532">
        <v>0.8433344777385674</v>
      </c>
      <c r="H161" s="532">
        <v>1.7229108098080999</v>
      </c>
      <c r="I161" s="532">
        <v>1.9568525876158778</v>
      </c>
      <c r="J161" s="532">
        <v>1.9944911870971342</v>
      </c>
      <c r="K161" s="532">
        <v>1.999365617245883</v>
      </c>
      <c r="L161" s="532">
        <v>1.9999311447320887</v>
      </c>
      <c r="M161" s="532">
        <v>1.9999927947804035</v>
      </c>
      <c r="N161" s="532">
        <v>1.9999992638031472</v>
      </c>
      <c r="O161" s="532">
        <v>1.9999999259917813</v>
      </c>
    </row>
    <row r="162" spans="2:15" s="527" customFormat="1" ht="10.5" thickBot="1">
      <c r="B162" s="1117" t="s">
        <v>426</v>
      </c>
      <c r="C162" s="1109"/>
      <c r="D162" s="530"/>
      <c r="E162" s="533">
        <f aca="true" t="shared" si="20" ref="E162:O162">(Source_current/2)*EXP((steady_x/(2*alpha.x))*(1-SQRT(1+4*$E$27*alpha.x/Vc)))*E161</f>
        <v>0</v>
      </c>
      <c r="F162" s="533">
        <f t="shared" si="20"/>
        <v>13.214440081575432</v>
      </c>
      <c r="G162" s="533">
        <f t="shared" si="20"/>
        <v>761.9596556541809</v>
      </c>
      <c r="H162" s="533">
        <f t="shared" si="20"/>
        <v>1556.664125584592</v>
      </c>
      <c r="I162" s="533">
        <f t="shared" si="20"/>
        <v>1768.0324511622878</v>
      </c>
      <c r="J162" s="533">
        <f t="shared" si="20"/>
        <v>1802.0392362008265</v>
      </c>
      <c r="K162" s="533">
        <f t="shared" si="20"/>
        <v>1806.4433240398657</v>
      </c>
      <c r="L162" s="533">
        <f t="shared" si="20"/>
        <v>1806.9542827875832</v>
      </c>
      <c r="M162" s="533">
        <f t="shared" si="20"/>
        <v>1807.0099841146664</v>
      </c>
      <c r="N162" s="533">
        <f t="shared" si="20"/>
        <v>1807.0158289300655</v>
      </c>
      <c r="O162" s="533">
        <f t="shared" si="20"/>
        <v>1807.0164272229576</v>
      </c>
    </row>
    <row r="163" spans="2:15" s="527" customFormat="1" ht="9.75">
      <c r="B163" s="1108"/>
      <c r="C163" s="1109"/>
      <c r="D163" s="530"/>
      <c r="E163" s="533"/>
      <c r="F163" s="533"/>
      <c r="G163" s="533"/>
      <c r="H163" s="533"/>
      <c r="I163" s="533"/>
      <c r="J163" s="533"/>
      <c r="K163" s="533"/>
      <c r="L163" s="533"/>
      <c r="M163" s="533"/>
      <c r="N163" s="533"/>
      <c r="O163" s="540"/>
    </row>
    <row r="164" spans="2:15" s="527" customFormat="1" ht="10.5" thickBot="1">
      <c r="B164" s="1108"/>
      <c r="C164" s="1109"/>
      <c r="D164" s="530"/>
      <c r="E164" s="533"/>
      <c r="F164" s="533"/>
      <c r="G164" s="533"/>
      <c r="H164" s="533"/>
      <c r="I164" s="533"/>
      <c r="J164" s="533"/>
      <c r="K164" s="533"/>
      <c r="L164" s="533"/>
      <c r="M164" s="533"/>
      <c r="N164" s="533"/>
      <c r="O164" s="540"/>
    </row>
    <row r="165" spans="2:15" s="527" customFormat="1" ht="9.75">
      <c r="B165" s="1116" t="s">
        <v>532</v>
      </c>
      <c r="C165" s="1109"/>
      <c r="D165" s="530"/>
      <c r="E165" s="533"/>
      <c r="F165" s="533"/>
      <c r="G165" s="533"/>
      <c r="H165" s="533"/>
      <c r="I165" s="533"/>
      <c r="J165" s="533"/>
      <c r="K165" s="533"/>
      <c r="L165" s="533"/>
      <c r="M165" s="533"/>
      <c r="N165" s="533"/>
      <c r="O165" s="540"/>
    </row>
    <row r="166" spans="2:15" s="527" customFormat="1" ht="9.75">
      <c r="B166" s="1108" t="s">
        <v>429</v>
      </c>
      <c r="C166" s="1109"/>
      <c r="D166" s="530"/>
      <c r="E166" s="533" t="e">
        <f aca="true" t="shared" si="21" ref="E166:O166">(steady_x-(min_vgw/$D$8)*E152*SQRT(1+4*$E$27*alpha.x/(min_vgw/$D$8)))/SQRT(4*alpha.x*E152*(min_vgw/$D$8))</f>
        <v>#DIV/0!</v>
      </c>
      <c r="F166" s="533" t="e">
        <f t="shared" si="21"/>
        <v>#DIV/0!</v>
      </c>
      <c r="G166" s="533" t="e">
        <f t="shared" si="21"/>
        <v>#DIV/0!</v>
      </c>
      <c r="H166" s="533" t="e">
        <f t="shared" si="21"/>
        <v>#DIV/0!</v>
      </c>
      <c r="I166" s="533" t="e">
        <f t="shared" si="21"/>
        <v>#DIV/0!</v>
      </c>
      <c r="J166" s="533" t="e">
        <f t="shared" si="21"/>
        <v>#DIV/0!</v>
      </c>
      <c r="K166" s="533" t="e">
        <f t="shared" si="21"/>
        <v>#DIV/0!</v>
      </c>
      <c r="L166" s="533" t="e">
        <f t="shared" si="21"/>
        <v>#DIV/0!</v>
      </c>
      <c r="M166" s="533" t="e">
        <f t="shared" si="21"/>
        <v>#DIV/0!</v>
      </c>
      <c r="N166" s="533" t="e">
        <f t="shared" si="21"/>
        <v>#DIV/0!</v>
      </c>
      <c r="O166" s="533" t="e">
        <f t="shared" si="21"/>
        <v>#DIV/0!</v>
      </c>
    </row>
    <row r="167" spans="2:15" s="527" customFormat="1" ht="9.75">
      <c r="B167" s="1108" t="s">
        <v>430</v>
      </c>
      <c r="C167" s="1109"/>
      <c r="D167" s="530"/>
      <c r="E167" s="532" t="e">
        <v>#DIV/0!</v>
      </c>
      <c r="F167" s="532" t="e">
        <v>#DIV/0!</v>
      </c>
      <c r="G167" s="532" t="e">
        <v>#DIV/0!</v>
      </c>
      <c r="H167" s="532" t="e">
        <v>#DIV/0!</v>
      </c>
      <c r="I167" s="532" t="e">
        <v>#DIV/0!</v>
      </c>
      <c r="J167" s="532" t="e">
        <v>#DIV/0!</v>
      </c>
      <c r="K167" s="532" t="e">
        <v>#DIV/0!</v>
      </c>
      <c r="L167" s="532" t="e">
        <v>#DIV/0!</v>
      </c>
      <c r="M167" s="532" t="e">
        <v>#DIV/0!</v>
      </c>
      <c r="N167" s="532" t="e">
        <v>#DIV/0!</v>
      </c>
      <c r="O167" s="532" t="e">
        <v>#DIV/0!</v>
      </c>
    </row>
    <row r="168" spans="2:15" s="527" customFormat="1" ht="10.5" thickBot="1">
      <c r="B168" s="1117" t="s">
        <v>426</v>
      </c>
      <c r="C168" s="1120"/>
      <c r="D168" s="531"/>
      <c r="E168" s="534" t="e">
        <f aca="true" t="shared" si="22" ref="E168:O168">(Source_current/2)*EXP((steady_x/(2*alpha.x))*(1-SQRT(1+4*$E$27*alpha.x/(min_vgw/$D$8))))*E161</f>
        <v>#DIV/0!</v>
      </c>
      <c r="F168" s="534" t="e">
        <f t="shared" si="22"/>
        <v>#DIV/0!</v>
      </c>
      <c r="G168" s="534" t="e">
        <f t="shared" si="22"/>
        <v>#DIV/0!</v>
      </c>
      <c r="H168" s="534" t="e">
        <f t="shared" si="22"/>
        <v>#DIV/0!</v>
      </c>
      <c r="I168" s="534" t="e">
        <f t="shared" si="22"/>
        <v>#DIV/0!</v>
      </c>
      <c r="J168" s="534" t="e">
        <f t="shared" si="22"/>
        <v>#DIV/0!</v>
      </c>
      <c r="K168" s="534" t="e">
        <f t="shared" si="22"/>
        <v>#DIV/0!</v>
      </c>
      <c r="L168" s="534" t="e">
        <f t="shared" si="22"/>
        <v>#DIV/0!</v>
      </c>
      <c r="M168" s="534" t="e">
        <f t="shared" si="22"/>
        <v>#DIV/0!</v>
      </c>
      <c r="N168" s="534" t="e">
        <f t="shared" si="22"/>
        <v>#DIV/0!</v>
      </c>
      <c r="O168" s="534" t="e">
        <f t="shared" si="22"/>
        <v>#DIV/0!</v>
      </c>
    </row>
    <row r="169" spans="2:15" s="527" customFormat="1" ht="9.75">
      <c r="B169" s="1109"/>
      <c r="C169" s="1109"/>
      <c r="E169" s="533"/>
      <c r="F169" s="533"/>
      <c r="G169" s="533"/>
      <c r="H169" s="533"/>
      <c r="I169" s="533"/>
      <c r="J169" s="533"/>
      <c r="K169" s="533"/>
      <c r="L169" s="533"/>
      <c r="M169" s="533"/>
      <c r="N169" s="533"/>
      <c r="O169" s="533"/>
    </row>
    <row r="170" spans="2:15" s="527" customFormat="1" ht="9.75">
      <c r="B170" s="1109"/>
      <c r="C170" s="1109"/>
      <c r="E170" s="533"/>
      <c r="F170" s="533"/>
      <c r="G170" s="533"/>
      <c r="H170" s="533"/>
      <c r="I170" s="533"/>
      <c r="J170" s="533"/>
      <c r="K170" s="533"/>
      <c r="L170" s="533"/>
      <c r="M170" s="533"/>
      <c r="N170" s="533"/>
      <c r="O170" s="533"/>
    </row>
    <row r="171" spans="2:15" s="527" customFormat="1" ht="9.75">
      <c r="B171" s="1109"/>
      <c r="C171" s="1109"/>
      <c r="E171" s="533"/>
      <c r="F171" s="533"/>
      <c r="G171" s="533"/>
      <c r="H171" s="533"/>
      <c r="I171" s="533"/>
      <c r="J171" s="533"/>
      <c r="K171" s="533"/>
      <c r="L171" s="533"/>
      <c r="M171" s="533"/>
      <c r="N171" s="533"/>
      <c r="O171" s="533"/>
    </row>
    <row r="175" ht="12.75">
      <c r="B175" s="746" t="s">
        <v>507</v>
      </c>
    </row>
    <row r="176" spans="5:16" ht="12.75">
      <c r="E176" s="521" t="str">
        <f>E76</f>
        <v>MW-1</v>
      </c>
      <c r="F176" s="521" t="str">
        <f aca="true" t="shared" si="23" ref="F176:O176">F76</f>
        <v>MW-2</v>
      </c>
      <c r="G176" s="521" t="str">
        <f t="shared" si="23"/>
        <v>MW-3</v>
      </c>
      <c r="H176" s="521" t="str">
        <f t="shared" si="23"/>
        <v>MW-4</v>
      </c>
      <c r="I176" s="521" t="str">
        <f t="shared" si="23"/>
        <v>MW-5</v>
      </c>
      <c r="J176" s="521" t="str">
        <f t="shared" si="23"/>
        <v>NA</v>
      </c>
      <c r="K176" s="521" t="str">
        <f t="shared" si="23"/>
        <v>NA</v>
      </c>
      <c r="L176" s="521" t="str">
        <f t="shared" si="23"/>
        <v>NA</v>
      </c>
      <c r="M176" s="521" t="str">
        <f t="shared" si="23"/>
        <v>NA</v>
      </c>
      <c r="N176" s="521" t="str">
        <f t="shared" si="23"/>
        <v>NA</v>
      </c>
      <c r="O176" s="521" t="str">
        <f t="shared" si="23"/>
        <v>NA</v>
      </c>
      <c r="P176" s="535"/>
    </row>
    <row r="177" spans="4:16" ht="12.75">
      <c r="D177" s="525" t="s">
        <v>509</v>
      </c>
      <c r="E177" s="535">
        <f>E80</f>
        <v>8.779557455883728</v>
      </c>
      <c r="F177" s="535">
        <f aca="true" t="shared" si="24" ref="F177:O177">F71</f>
        <v>3600</v>
      </c>
      <c r="G177" s="535">
        <f t="shared" si="24"/>
        <v>1100</v>
      </c>
      <c r="H177" s="535">
        <f t="shared" si="24"/>
        <v>250</v>
      </c>
      <c r="I177" s="535">
        <f t="shared" si="24"/>
        <v>10</v>
      </c>
      <c r="J177" s="535" t="str">
        <f t="shared" si="24"/>
        <v>NA</v>
      </c>
      <c r="K177" s="535" t="str">
        <f t="shared" si="24"/>
        <v>NA</v>
      </c>
      <c r="L177" s="535" t="str">
        <f t="shared" si="24"/>
        <v>NA</v>
      </c>
      <c r="M177" s="535" t="str">
        <f t="shared" si="24"/>
        <v>NA</v>
      </c>
      <c r="N177" s="535" t="str">
        <f t="shared" si="24"/>
        <v>NA</v>
      </c>
      <c r="O177" s="535" t="str">
        <f t="shared" si="24"/>
        <v>NA</v>
      </c>
      <c r="P177" s="535" t="s">
        <v>510</v>
      </c>
    </row>
    <row r="178" spans="5:16" ht="12.75">
      <c r="E178" s="535"/>
      <c r="F178" s="535"/>
      <c r="G178" s="535"/>
      <c r="H178" s="535"/>
      <c r="I178" s="535"/>
      <c r="J178" s="535"/>
      <c r="K178" s="535"/>
      <c r="L178" s="535"/>
      <c r="M178" s="535"/>
      <c r="N178" s="535"/>
      <c r="O178" s="535"/>
      <c r="P178" s="535"/>
    </row>
    <row r="179" spans="2:16" ht="12.75">
      <c r="B179" s="525" t="s">
        <v>525</v>
      </c>
      <c r="D179" s="525" t="s">
        <v>508</v>
      </c>
      <c r="E179" s="535">
        <f>IF(ISTEXT(E70),,E70)</f>
        <v>0</v>
      </c>
      <c r="F179" s="535">
        <f aca="true" t="shared" si="25" ref="F179:O179">IF(ISTEXT(F70),,F70)</f>
        <v>77.57346097933963</v>
      </c>
      <c r="G179" s="535">
        <f t="shared" si="25"/>
        <v>140.16919374440567</v>
      </c>
      <c r="H179" s="535">
        <f t="shared" si="25"/>
        <v>341.9597600951184</v>
      </c>
      <c r="I179" s="535">
        <f t="shared" si="25"/>
        <v>291.187527588197</v>
      </c>
      <c r="J179" s="535">
        <f t="shared" si="25"/>
        <v>0</v>
      </c>
      <c r="K179" s="535">
        <f t="shared" si="25"/>
        <v>0</v>
      </c>
      <c r="L179" s="535">
        <f t="shared" si="25"/>
        <v>0</v>
      </c>
      <c r="M179" s="535">
        <f t="shared" si="25"/>
        <v>0</v>
      </c>
      <c r="N179" s="535">
        <f t="shared" si="25"/>
        <v>0</v>
      </c>
      <c r="O179" s="535">
        <f t="shared" si="25"/>
        <v>0</v>
      </c>
      <c r="P179" s="535">
        <f>SUM(E179:O179)</f>
        <v>850.8899424070606</v>
      </c>
    </row>
    <row r="180" spans="2:16" ht="15">
      <c r="B180" s="748" t="s">
        <v>526</v>
      </c>
      <c r="D180" s="525" t="s">
        <v>508</v>
      </c>
      <c r="E180" s="535">
        <f>E179^2</f>
        <v>0</v>
      </c>
      <c r="F180" s="535">
        <f aca="true" t="shared" si="26" ref="F180:O180">F179^2</f>
        <v>6017.641848313128</v>
      </c>
      <c r="G180" s="535">
        <f t="shared" si="26"/>
        <v>19647.402874956733</v>
      </c>
      <c r="H180" s="535">
        <f t="shared" si="26"/>
        <v>116936.47752431092</v>
      </c>
      <c r="I180" s="535">
        <f t="shared" si="26"/>
        <v>84790.17622292698</v>
      </c>
      <c r="J180" s="535">
        <f t="shared" si="26"/>
        <v>0</v>
      </c>
      <c r="K180" s="535">
        <f t="shared" si="26"/>
        <v>0</v>
      </c>
      <c r="L180" s="535">
        <f t="shared" si="26"/>
        <v>0</v>
      </c>
      <c r="M180" s="535">
        <f t="shared" si="26"/>
        <v>0</v>
      </c>
      <c r="N180" s="535">
        <f t="shared" si="26"/>
        <v>0</v>
      </c>
      <c r="O180" s="535">
        <f t="shared" si="26"/>
        <v>0</v>
      </c>
      <c r="P180" s="535">
        <f>SUM(E180:O180)</f>
        <v>227391.69847050775</v>
      </c>
    </row>
    <row r="182" ht="13.5" thickBot="1"/>
    <row r="183" spans="2:5" ht="12.75">
      <c r="B183" s="1123" t="s">
        <v>511</v>
      </c>
      <c r="C183" s="1124"/>
      <c r="D183" s="1124"/>
      <c r="E183" s="1125"/>
    </row>
    <row r="184" spans="2:7" ht="15">
      <c r="B184" s="493" t="s">
        <v>512</v>
      </c>
      <c r="C184" s="492"/>
      <c r="D184" s="492"/>
      <c r="E184" s="494">
        <f>STEYX(E80:O80,E70:O70)</f>
        <v>1.663043701581606</v>
      </c>
      <c r="F184" s="489"/>
      <c r="G184" s="489"/>
    </row>
    <row r="185" spans="2:7" ht="15">
      <c r="B185" s="493" t="s">
        <v>527</v>
      </c>
      <c r="C185" s="492"/>
      <c r="D185" s="492"/>
      <c r="E185" s="494">
        <f>P179</f>
        <v>850.8899424070606</v>
      </c>
      <c r="F185" s="489"/>
      <c r="G185" s="489"/>
    </row>
    <row r="186" spans="2:7" ht="15.75">
      <c r="B186" s="493" t="s">
        <v>528</v>
      </c>
      <c r="C186" s="492"/>
      <c r="D186" s="492"/>
      <c r="E186" s="494">
        <f>P180</f>
        <v>227391.69847050775</v>
      </c>
      <c r="F186" s="489"/>
      <c r="G186" s="489"/>
    </row>
    <row r="187" spans="2:7" ht="15.75">
      <c r="B187" s="493" t="s">
        <v>517</v>
      </c>
      <c r="C187" s="492"/>
      <c r="D187" s="492"/>
      <c r="E187" s="494">
        <f>E186-((E185^2)/E188)</f>
        <v>82588.95965260957</v>
      </c>
      <c r="F187" s="489"/>
      <c r="G187" s="489"/>
    </row>
    <row r="188" spans="2:7" ht="15">
      <c r="B188" s="493" t="s">
        <v>8</v>
      </c>
      <c r="C188" s="492"/>
      <c r="D188" s="492"/>
      <c r="E188" s="494">
        <f>COUNT(E177:O177)</f>
        <v>5</v>
      </c>
      <c r="F188" s="489"/>
      <c r="G188" s="490"/>
    </row>
    <row r="189" spans="2:7" ht="15">
      <c r="B189" s="493" t="s">
        <v>513</v>
      </c>
      <c r="C189" s="492"/>
      <c r="D189" s="492"/>
      <c r="E189" s="494">
        <f>CL_busch</f>
        <v>0.9</v>
      </c>
      <c r="F189" s="489"/>
      <c r="G189" s="489"/>
    </row>
    <row r="190" spans="2:7" ht="15">
      <c r="B190" s="493" t="s">
        <v>514</v>
      </c>
      <c r="C190" s="492"/>
      <c r="D190" s="492"/>
      <c r="E190" s="494">
        <f>TINV((1-E189)*2,E188-1)</f>
        <v>1.533206272594955</v>
      </c>
      <c r="F190" s="489"/>
      <c r="G190" s="489"/>
    </row>
    <row r="191" spans="2:7" ht="15">
      <c r="B191" s="493" t="s">
        <v>515</v>
      </c>
      <c r="C191" s="492"/>
      <c r="D191" s="492"/>
      <c r="E191" s="494">
        <f>E190*E184/SQRT(E187)</f>
        <v>0.0088724436834753</v>
      </c>
      <c r="F191" s="489"/>
      <c r="G191" s="489"/>
    </row>
    <row r="192" spans="2:7" ht="13.5" thickBot="1">
      <c r="B192" s="1126" t="s">
        <v>516</v>
      </c>
      <c r="C192" s="1127"/>
      <c r="D192" s="1127"/>
      <c r="E192" s="1128">
        <f>D15-E191</f>
        <v>0.006086330160937927</v>
      </c>
      <c r="F192" s="714"/>
      <c r="G192" s="714"/>
    </row>
  </sheetData>
  <sheetProtection/>
  <mergeCells count="13">
    <mergeCell ref="E25:F25"/>
    <mergeCell ref="E26:F26"/>
    <mergeCell ref="E27:F27"/>
    <mergeCell ref="E24:F24"/>
    <mergeCell ref="E28:F28"/>
    <mergeCell ref="E29:F29"/>
    <mergeCell ref="G36:I38"/>
    <mergeCell ref="E36:F38"/>
    <mergeCell ref="E35:F35"/>
    <mergeCell ref="G35:H35"/>
    <mergeCell ref="D34:F34"/>
    <mergeCell ref="D36:D38"/>
    <mergeCell ref="G34:I34"/>
  </mergeCells>
  <printOptions/>
  <pageMargins left="0.39" right="0.25" top="0.68" bottom="0.51" header="0.37" footer="0.76"/>
  <pageSetup blackAndWhite="1" fitToHeight="1" fitToWidth="1" horizontalDpi="600" verticalDpi="600" orientation="portrait" scale="80" r:id="rId3"/>
  <headerFooter alignWithMargins="0">
    <oddHeader>&amp;LWashington State Department of Ecology: TCP program&amp;R&amp;D</oddHeader>
    <oddFooter>&amp;R&amp;A</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A1"/>
  <sheetViews>
    <sheetView showGridLines="0" showRowColHeaders="0" zoomScale="96" zoomScaleNormal="96" zoomScalePageLayoutView="0" workbookViewId="0" topLeftCell="A107">
      <selection activeCell="A122" sqref="A122"/>
    </sheetView>
  </sheetViews>
  <sheetFormatPr defaultColWidth="9.00390625" defaultRowHeight="12.75"/>
  <cols>
    <col min="1" max="1" width="4.375" style="11" customWidth="1"/>
    <col min="2" max="9" width="8.875" style="11" customWidth="1"/>
    <col min="10" max="10" width="12.875" style="11" customWidth="1"/>
    <col min="11" max="16384" width="8.875" style="11" customWidth="1"/>
  </cols>
  <sheetData>
    <row r="1" ht="12.75"/>
    <row r="2"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sheetData>
  <sheetProtection/>
  <printOptions/>
  <pageMargins left="0.42" right="0.38" top="0.64" bottom="1" header="0.26" footer="0.5"/>
  <pageSetup fitToHeight="1" fitToWidth="1" horizontalDpi="600" verticalDpi="600" orientation="portrait" scale="79"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A1:U82"/>
  <sheetViews>
    <sheetView showGridLines="0" showRowColHeaders="0" zoomScale="74" zoomScaleNormal="74" zoomScalePageLayoutView="0" workbookViewId="0" topLeftCell="A1">
      <pane xSplit="3" ySplit="7" topLeftCell="D8" activePane="bottomRight" state="frozen"/>
      <selection pane="topLeft" activeCell="L45" sqref="L45"/>
      <selection pane="topRight" activeCell="L45" sqref="L45"/>
      <selection pane="bottomLeft" activeCell="L45" sqref="L45"/>
      <selection pane="bottomRight" activeCell="A1" sqref="A1"/>
    </sheetView>
  </sheetViews>
  <sheetFormatPr defaultColWidth="9.125" defaultRowHeight="12.75"/>
  <cols>
    <col min="1" max="1" width="8.25390625" style="716" customWidth="1"/>
    <col min="2" max="2" width="22.375" style="717" customWidth="1"/>
    <col min="3" max="3" width="9.125" style="716" hidden="1" customWidth="1"/>
    <col min="4" max="4" width="11.50390625" style="716" customWidth="1"/>
    <col min="5" max="5" width="9.50390625" style="716" customWidth="1"/>
    <col min="6" max="6" width="9.125" style="716" customWidth="1"/>
    <col min="7" max="7" width="12.50390625" style="716" customWidth="1"/>
    <col min="8" max="8" width="9.50390625" style="716" customWidth="1"/>
    <col min="9" max="9" width="10.50390625" style="718" customWidth="1"/>
    <col min="10" max="10" width="12.25390625" style="718" customWidth="1"/>
    <col min="11" max="11" width="13.625" style="718" customWidth="1"/>
    <col min="12" max="12" width="10.625" style="718" customWidth="1"/>
    <col min="13" max="13" width="9.125" style="718" customWidth="1"/>
    <col min="14" max="14" width="10.50390625" style="718" customWidth="1"/>
    <col min="15" max="15" width="3.50390625" style="718" customWidth="1"/>
    <col min="16" max="16" width="9.125" style="718" customWidth="1"/>
    <col min="17" max="20" width="9.125" style="718" hidden="1" customWidth="1"/>
    <col min="21" max="21" width="11.00390625" style="718" hidden="1" customWidth="1"/>
    <col min="22" max="16384" width="9.125" style="718" customWidth="1"/>
  </cols>
  <sheetData>
    <row r="1" spans="1:15" ht="20.25">
      <c r="A1" s="773"/>
      <c r="B1" s="774"/>
      <c r="C1" s="773"/>
      <c r="D1" s="904" t="s">
        <v>653</v>
      </c>
      <c r="E1" s="773"/>
      <c r="F1" s="773"/>
      <c r="G1" s="773"/>
      <c r="H1" s="773"/>
      <c r="I1" s="775"/>
      <c r="J1" s="775"/>
      <c r="K1" s="775"/>
      <c r="L1" s="775"/>
      <c r="M1" s="775"/>
      <c r="N1" s="775"/>
      <c r="O1" s="775"/>
    </row>
    <row r="2" spans="1:15" ht="15" customHeight="1">
      <c r="A2" s="774"/>
      <c r="B2" s="774"/>
      <c r="C2" s="773"/>
      <c r="D2" s="776"/>
      <c r="E2" s="773"/>
      <c r="F2" s="773"/>
      <c r="G2" s="773"/>
      <c r="H2" s="773"/>
      <c r="I2" s="775"/>
      <c r="J2" s="775"/>
      <c r="K2" s="775"/>
      <c r="L2" s="775"/>
      <c r="M2" s="775"/>
      <c r="N2" s="775"/>
      <c r="O2" s="775"/>
    </row>
    <row r="3" spans="1:15" s="719" customFormat="1" ht="31.5" customHeight="1" thickBot="1">
      <c r="A3" s="777"/>
      <c r="B3" s="778"/>
      <c r="C3" s="779"/>
      <c r="D3" s="1427" t="s">
        <v>291</v>
      </c>
      <c r="E3" s="1428"/>
      <c r="F3" s="1428"/>
      <c r="G3" s="1428"/>
      <c r="H3" s="1429"/>
      <c r="I3" s="1430" t="s">
        <v>363</v>
      </c>
      <c r="J3" s="1431"/>
      <c r="K3" s="1431"/>
      <c r="L3" s="1431"/>
      <c r="M3" s="1431"/>
      <c r="N3" s="1432"/>
      <c r="O3" s="780"/>
    </row>
    <row r="4" spans="1:15" ht="3.75" customHeight="1">
      <c r="A4" s="781"/>
      <c r="B4" s="782">
        <v>1</v>
      </c>
      <c r="C4" s="783">
        <v>2</v>
      </c>
      <c r="D4" s="784">
        <v>3</v>
      </c>
      <c r="E4" s="784">
        <v>4</v>
      </c>
      <c r="F4" s="784">
        <v>5</v>
      </c>
      <c r="G4" s="784">
        <v>6</v>
      </c>
      <c r="H4" s="785">
        <v>7</v>
      </c>
      <c r="I4" s="786"/>
      <c r="J4" s="787"/>
      <c r="K4" s="787"/>
      <c r="L4" s="787"/>
      <c r="M4" s="787"/>
      <c r="N4" s="788"/>
      <c r="O4" s="775"/>
    </row>
    <row r="5" spans="1:15" s="720" customFormat="1" ht="73.5" customHeight="1">
      <c r="A5" s="905" t="s">
        <v>292</v>
      </c>
      <c r="B5" s="906" t="s">
        <v>654</v>
      </c>
      <c r="C5" s="907" t="s">
        <v>293</v>
      </c>
      <c r="D5" s="908" t="s">
        <v>294</v>
      </c>
      <c r="E5" s="908" t="s">
        <v>295</v>
      </c>
      <c r="F5" s="908" t="s">
        <v>296</v>
      </c>
      <c r="G5" s="908" t="s">
        <v>297</v>
      </c>
      <c r="H5" s="906" t="s">
        <v>298</v>
      </c>
      <c r="I5" s="909" t="s">
        <v>617</v>
      </c>
      <c r="J5" s="910" t="s">
        <v>618</v>
      </c>
      <c r="K5" s="911" t="s">
        <v>619</v>
      </c>
      <c r="L5" s="911" t="s">
        <v>620</v>
      </c>
      <c r="M5" s="910" t="s">
        <v>621</v>
      </c>
      <c r="N5" s="912" t="s">
        <v>622</v>
      </c>
      <c r="O5" s="789"/>
    </row>
    <row r="6" spans="1:21" s="721" customFormat="1" ht="19.5" customHeight="1">
      <c r="A6" s="790"/>
      <c r="B6" s="791"/>
      <c r="C6" s="792"/>
      <c r="D6" s="793" t="s">
        <v>299</v>
      </c>
      <c r="E6" s="793" t="s">
        <v>300</v>
      </c>
      <c r="F6" s="793" t="s">
        <v>356</v>
      </c>
      <c r="G6" s="793" t="s">
        <v>357</v>
      </c>
      <c r="H6" s="794" t="s">
        <v>301</v>
      </c>
      <c r="I6" s="795"/>
      <c r="J6" s="796"/>
      <c r="K6" s="796"/>
      <c r="L6" s="796"/>
      <c r="M6" s="796"/>
      <c r="N6" s="797"/>
      <c r="O6" s="798"/>
      <c r="Q6" s="721" t="s">
        <v>302</v>
      </c>
      <c r="R6" s="721" t="s">
        <v>25</v>
      </c>
      <c r="S6" s="1426" t="s">
        <v>303</v>
      </c>
      <c r="T6" s="1426"/>
      <c r="U6" s="721" t="s">
        <v>304</v>
      </c>
    </row>
    <row r="7" spans="1:21" s="723" customFormat="1" ht="17.25" customHeight="1">
      <c r="A7" s="799"/>
      <c r="B7" s="800"/>
      <c r="C7" s="801"/>
      <c r="D7" s="802" t="s">
        <v>305</v>
      </c>
      <c r="E7" s="802" t="s">
        <v>306</v>
      </c>
      <c r="F7" s="802" t="s">
        <v>307</v>
      </c>
      <c r="G7" s="802" t="s">
        <v>308</v>
      </c>
      <c r="H7" s="800" t="s">
        <v>306</v>
      </c>
      <c r="I7" s="803" t="s">
        <v>307</v>
      </c>
      <c r="J7" s="804" t="s">
        <v>307</v>
      </c>
      <c r="K7" s="804" t="s">
        <v>307</v>
      </c>
      <c r="L7" s="804" t="s">
        <v>307</v>
      </c>
      <c r="M7" s="804" t="s">
        <v>307</v>
      </c>
      <c r="N7" s="805" t="s">
        <v>307</v>
      </c>
      <c r="O7" s="806"/>
      <c r="Q7" s="722" t="s">
        <v>307</v>
      </c>
      <c r="R7" s="722" t="s">
        <v>308</v>
      </c>
      <c r="S7" s="723" t="s">
        <v>309</v>
      </c>
      <c r="T7" s="723" t="s">
        <v>310</v>
      </c>
      <c r="U7" s="723" t="s">
        <v>309</v>
      </c>
    </row>
    <row r="8" spans="1:18" s="726" customFormat="1" ht="15" customHeight="1">
      <c r="A8" s="807"/>
      <c r="B8" s="89" t="s">
        <v>364</v>
      </c>
      <c r="C8" s="724"/>
      <c r="D8" s="725"/>
      <c r="E8" s="725"/>
      <c r="F8" s="725"/>
      <c r="G8" s="725"/>
      <c r="H8" s="743"/>
      <c r="I8" s="96"/>
      <c r="J8" s="90"/>
      <c r="K8" s="90"/>
      <c r="L8" s="90"/>
      <c r="M8" s="90"/>
      <c r="N8" s="91"/>
      <c r="O8" s="808"/>
      <c r="Q8" s="727"/>
      <c r="R8" s="727"/>
    </row>
    <row r="9" spans="1:18" s="726" customFormat="1" ht="15" customHeight="1">
      <c r="A9" s="807"/>
      <c r="B9" s="89" t="s">
        <v>365</v>
      </c>
      <c r="C9" s="728"/>
      <c r="D9" s="729"/>
      <c r="E9" s="729"/>
      <c r="F9" s="729"/>
      <c r="G9" s="731"/>
      <c r="H9" s="744"/>
      <c r="I9" s="97"/>
      <c r="J9" s="92"/>
      <c r="K9" s="92"/>
      <c r="L9" s="92"/>
      <c r="M9" s="92"/>
      <c r="N9" s="93"/>
      <c r="O9" s="808"/>
      <c r="Q9" s="727"/>
      <c r="R9" s="727"/>
    </row>
    <row r="10" spans="1:18" s="726" customFormat="1" ht="15" customHeight="1">
      <c r="A10" s="807"/>
      <c r="B10" s="89" t="s">
        <v>366</v>
      </c>
      <c r="C10" s="728"/>
      <c r="D10" s="729"/>
      <c r="E10" s="729"/>
      <c r="F10" s="729"/>
      <c r="G10" s="731"/>
      <c r="H10" s="744"/>
      <c r="I10" s="97"/>
      <c r="J10" s="92"/>
      <c r="K10" s="92"/>
      <c r="L10" s="92"/>
      <c r="M10" s="92"/>
      <c r="N10" s="93"/>
      <c r="O10" s="808"/>
      <c r="Q10" s="727"/>
      <c r="R10" s="727"/>
    </row>
    <row r="11" spans="1:18" s="726" customFormat="1" ht="15.75" customHeight="1">
      <c r="A11" s="807"/>
      <c r="B11" s="89" t="s">
        <v>367</v>
      </c>
      <c r="C11" s="730"/>
      <c r="D11" s="731"/>
      <c r="E11" s="731"/>
      <c r="F11" s="731"/>
      <c r="G11" s="731"/>
      <c r="H11" s="744"/>
      <c r="I11" s="98"/>
      <c r="J11" s="94"/>
      <c r="K11" s="94"/>
      <c r="L11" s="94"/>
      <c r="M11" s="94"/>
      <c r="N11" s="95"/>
      <c r="O11" s="808"/>
      <c r="Q11" s="727"/>
      <c r="R11" s="727"/>
    </row>
    <row r="12" spans="1:21" s="733" customFormat="1" ht="12.75">
      <c r="A12" s="809"/>
      <c r="B12" s="810" t="s">
        <v>311</v>
      </c>
      <c r="C12" s="811">
        <v>5.5</v>
      </c>
      <c r="D12" s="812">
        <v>81000</v>
      </c>
      <c r="E12" s="812">
        <v>36</v>
      </c>
      <c r="F12" s="812">
        <v>33</v>
      </c>
      <c r="G12" s="812">
        <v>800</v>
      </c>
      <c r="H12" s="813">
        <v>670000</v>
      </c>
      <c r="I12" s="814"/>
      <c r="J12" s="815"/>
      <c r="K12" s="815"/>
      <c r="L12" s="815"/>
      <c r="M12" s="815"/>
      <c r="N12" s="816"/>
      <c r="O12" s="817"/>
      <c r="Q12" s="732">
        <v>33</v>
      </c>
      <c r="R12" s="732">
        <v>800</v>
      </c>
      <c r="S12" s="733">
        <v>0.23</v>
      </c>
      <c r="T12" s="733">
        <v>0.1</v>
      </c>
      <c r="U12" s="734">
        <f aca="true" t="shared" si="0" ref="U12:U35">R12*S12</f>
        <v>184</v>
      </c>
    </row>
    <row r="13" spans="1:21" s="733" customFormat="1" ht="12.75">
      <c r="A13" s="809"/>
      <c r="B13" s="810" t="s">
        <v>312</v>
      </c>
      <c r="C13" s="811">
        <v>7</v>
      </c>
      <c r="D13" s="812">
        <v>100000</v>
      </c>
      <c r="E13" s="812">
        <v>5.4</v>
      </c>
      <c r="F13" s="812">
        <v>50</v>
      </c>
      <c r="G13" s="812">
        <v>3800</v>
      </c>
      <c r="H13" s="813">
        <v>700000</v>
      </c>
      <c r="I13" s="814"/>
      <c r="J13" s="815"/>
      <c r="K13" s="815"/>
      <c r="L13" s="815"/>
      <c r="M13" s="815"/>
      <c r="N13" s="816"/>
      <c r="O13" s="817"/>
      <c r="Q13" s="732">
        <v>50</v>
      </c>
      <c r="R13" s="732">
        <v>3800</v>
      </c>
      <c r="S13" s="733">
        <v>0.19</v>
      </c>
      <c r="T13" s="733">
        <v>0.3</v>
      </c>
      <c r="U13" s="734">
        <f t="shared" si="0"/>
        <v>722</v>
      </c>
    </row>
    <row r="14" spans="1:21" s="733" customFormat="1" ht="12.75">
      <c r="A14" s="809"/>
      <c r="B14" s="810" t="s">
        <v>313</v>
      </c>
      <c r="C14" s="811">
        <v>9</v>
      </c>
      <c r="D14" s="812">
        <v>130000</v>
      </c>
      <c r="E14" s="812">
        <v>0.43</v>
      </c>
      <c r="F14" s="812">
        <v>80</v>
      </c>
      <c r="G14" s="812">
        <v>30200</v>
      </c>
      <c r="H14" s="813">
        <v>730000</v>
      </c>
      <c r="I14" s="814"/>
      <c r="J14" s="815"/>
      <c r="K14" s="815"/>
      <c r="L14" s="815"/>
      <c r="M14" s="815"/>
      <c r="N14" s="816"/>
      <c r="O14" s="817"/>
      <c r="Q14" s="732">
        <v>80</v>
      </c>
      <c r="R14" s="732">
        <v>30200</v>
      </c>
      <c r="S14" s="733">
        <v>0.09</v>
      </c>
      <c r="T14" s="733">
        <v>2</v>
      </c>
      <c r="U14" s="734">
        <f t="shared" si="0"/>
        <v>2718</v>
      </c>
    </row>
    <row r="15" spans="1:21" s="733" customFormat="1" ht="12.75">
      <c r="A15" s="809"/>
      <c r="B15" s="810" t="s">
        <v>314</v>
      </c>
      <c r="C15" s="811">
        <v>11</v>
      </c>
      <c r="D15" s="812">
        <v>160000</v>
      </c>
      <c r="E15" s="812">
        <v>0.034</v>
      </c>
      <c r="F15" s="812">
        <v>120</v>
      </c>
      <c r="G15" s="812">
        <v>234000</v>
      </c>
      <c r="H15" s="813">
        <v>750000</v>
      </c>
      <c r="I15" s="814"/>
      <c r="J15" s="815"/>
      <c r="K15" s="815"/>
      <c r="L15" s="815"/>
      <c r="M15" s="815"/>
      <c r="N15" s="816"/>
      <c r="O15" s="817"/>
      <c r="Q15" s="732">
        <v>120</v>
      </c>
      <c r="R15" s="732">
        <v>234000</v>
      </c>
      <c r="S15" s="733">
        <v>0.03</v>
      </c>
      <c r="T15" s="733">
        <v>8</v>
      </c>
      <c r="U15" s="734">
        <f t="shared" si="0"/>
        <v>7020</v>
      </c>
    </row>
    <row r="16" spans="1:21" s="733" customFormat="1" ht="12.75">
      <c r="A16" s="809"/>
      <c r="B16" s="810" t="s">
        <v>315</v>
      </c>
      <c r="C16" s="811">
        <v>14</v>
      </c>
      <c r="D16" s="812">
        <v>200000</v>
      </c>
      <c r="E16" s="812">
        <v>0.00076</v>
      </c>
      <c r="F16" s="812">
        <v>520</v>
      </c>
      <c r="G16" s="812">
        <v>5370000</v>
      </c>
      <c r="H16" s="813">
        <v>770000</v>
      </c>
      <c r="I16" s="814"/>
      <c r="J16" s="815"/>
      <c r="K16" s="815"/>
      <c r="L16" s="815"/>
      <c r="M16" s="815"/>
      <c r="N16" s="816"/>
      <c r="O16" s="817"/>
      <c r="Q16" s="732">
        <v>520</v>
      </c>
      <c r="R16" s="732">
        <v>5370000</v>
      </c>
      <c r="S16" s="733">
        <v>0</v>
      </c>
      <c r="T16" s="733">
        <v>26</v>
      </c>
      <c r="U16" s="734">
        <f t="shared" si="0"/>
        <v>0</v>
      </c>
    </row>
    <row r="17" spans="1:21" s="733" customFormat="1" ht="12.75">
      <c r="A17" s="809"/>
      <c r="B17" s="810" t="s">
        <v>316</v>
      </c>
      <c r="C17" s="811">
        <v>19</v>
      </c>
      <c r="D17" s="812">
        <v>270000</v>
      </c>
      <c r="E17" s="812">
        <v>1.3E-06</v>
      </c>
      <c r="F17" s="812">
        <v>4900</v>
      </c>
      <c r="G17" s="812">
        <v>9550000000</v>
      </c>
      <c r="H17" s="813">
        <v>780000</v>
      </c>
      <c r="I17" s="814"/>
      <c r="J17" s="815"/>
      <c r="K17" s="815"/>
      <c r="L17" s="815"/>
      <c r="M17" s="815"/>
      <c r="N17" s="816"/>
      <c r="O17" s="817"/>
      <c r="Q17" s="732">
        <v>4900</v>
      </c>
      <c r="R17" s="732">
        <v>9550000000</v>
      </c>
      <c r="S17" s="733">
        <v>0</v>
      </c>
      <c r="T17" s="733">
        <v>34</v>
      </c>
      <c r="U17" s="734">
        <f t="shared" si="0"/>
        <v>0</v>
      </c>
    </row>
    <row r="18" spans="1:21" s="733" customFormat="1" ht="12.75">
      <c r="A18" s="818"/>
      <c r="B18" s="819" t="s">
        <v>317</v>
      </c>
      <c r="C18" s="820">
        <v>28</v>
      </c>
      <c r="D18" s="821">
        <v>400000</v>
      </c>
      <c r="E18" s="821">
        <v>1.5E-11</v>
      </c>
      <c r="F18" s="821">
        <v>100000</v>
      </c>
      <c r="G18" s="821">
        <v>10700000000</v>
      </c>
      <c r="H18" s="822">
        <v>790000</v>
      </c>
      <c r="I18" s="823"/>
      <c r="J18" s="824"/>
      <c r="K18" s="824"/>
      <c r="L18" s="824"/>
      <c r="M18" s="824"/>
      <c r="N18" s="825"/>
      <c r="O18" s="817"/>
      <c r="Q18" s="735">
        <v>100000</v>
      </c>
      <c r="R18" s="735">
        <v>10700000000</v>
      </c>
      <c r="S18" s="733">
        <v>0</v>
      </c>
      <c r="T18" s="733">
        <v>0</v>
      </c>
      <c r="U18" s="734">
        <f t="shared" si="0"/>
        <v>0</v>
      </c>
    </row>
    <row r="19" spans="1:21" s="733" customFormat="1" ht="12.75">
      <c r="A19" s="809"/>
      <c r="B19" s="810" t="s">
        <v>318</v>
      </c>
      <c r="C19" s="811">
        <v>9</v>
      </c>
      <c r="D19" s="812">
        <v>120000</v>
      </c>
      <c r="E19" s="812">
        <v>65</v>
      </c>
      <c r="F19" s="812">
        <v>0.48</v>
      </c>
      <c r="G19" s="812">
        <v>1580</v>
      </c>
      <c r="H19" s="813">
        <v>870000</v>
      </c>
      <c r="I19" s="814"/>
      <c r="J19" s="815"/>
      <c r="K19" s="815"/>
      <c r="L19" s="815"/>
      <c r="M19" s="815"/>
      <c r="N19" s="816"/>
      <c r="O19" s="817"/>
      <c r="Q19" s="732">
        <v>0.48</v>
      </c>
      <c r="R19" s="732">
        <v>1580</v>
      </c>
      <c r="S19" s="733">
        <v>0.13</v>
      </c>
      <c r="T19" s="733">
        <v>0.5</v>
      </c>
      <c r="U19" s="734">
        <f t="shared" si="0"/>
        <v>205.4</v>
      </c>
    </row>
    <row r="20" spans="1:21" s="733" customFormat="1" ht="12.75">
      <c r="A20" s="809"/>
      <c r="B20" s="810" t="s">
        <v>319</v>
      </c>
      <c r="C20" s="811">
        <v>10</v>
      </c>
      <c r="D20" s="812">
        <v>130000</v>
      </c>
      <c r="E20" s="812">
        <v>25</v>
      </c>
      <c r="F20" s="812">
        <f>0.14</f>
        <v>0.14</v>
      </c>
      <c r="G20" s="812">
        <v>2510</v>
      </c>
      <c r="H20" s="813">
        <v>900000</v>
      </c>
      <c r="I20" s="814"/>
      <c r="J20" s="815"/>
      <c r="K20" s="815"/>
      <c r="L20" s="815"/>
      <c r="M20" s="815"/>
      <c r="N20" s="816"/>
      <c r="O20" s="817"/>
      <c r="Q20" s="732">
        <f>0.14</f>
        <v>0.14</v>
      </c>
      <c r="R20" s="732">
        <v>2510</v>
      </c>
      <c r="S20" s="733">
        <v>0.025</v>
      </c>
      <c r="T20" s="733">
        <v>2.3</v>
      </c>
      <c r="U20" s="734">
        <f t="shared" si="0"/>
        <v>62.75</v>
      </c>
    </row>
    <row r="21" spans="1:21" s="733" customFormat="1" ht="12.75">
      <c r="A21" s="809"/>
      <c r="B21" s="810" t="s">
        <v>320</v>
      </c>
      <c r="C21" s="811">
        <v>14</v>
      </c>
      <c r="D21" s="812">
        <v>150000</v>
      </c>
      <c r="E21" s="812">
        <v>5.8</v>
      </c>
      <c r="F21" s="812">
        <v>0.053</v>
      </c>
      <c r="G21" s="812">
        <v>5010</v>
      </c>
      <c r="H21" s="813">
        <v>1000000</v>
      </c>
      <c r="I21" s="814"/>
      <c r="J21" s="815"/>
      <c r="K21" s="815"/>
      <c r="L21" s="815"/>
      <c r="M21" s="815"/>
      <c r="N21" s="816"/>
      <c r="O21" s="817"/>
      <c r="Q21" s="732">
        <v>0.053</v>
      </c>
      <c r="R21" s="732">
        <v>5010</v>
      </c>
      <c r="S21" s="733">
        <v>0</v>
      </c>
      <c r="T21" s="733">
        <v>6.6</v>
      </c>
      <c r="U21" s="734">
        <f t="shared" si="0"/>
        <v>0</v>
      </c>
    </row>
    <row r="22" spans="1:21" s="733" customFormat="1" ht="12.75">
      <c r="A22" s="809"/>
      <c r="B22" s="810" t="s">
        <v>321</v>
      </c>
      <c r="C22" s="811">
        <v>19</v>
      </c>
      <c r="D22" s="812">
        <v>190000</v>
      </c>
      <c r="E22" s="812">
        <v>0.51</v>
      </c>
      <c r="F22" s="812">
        <f>0.013</f>
        <v>0.013</v>
      </c>
      <c r="G22" s="812">
        <v>15800</v>
      </c>
      <c r="H22" s="813">
        <v>1160000</v>
      </c>
      <c r="I22" s="814"/>
      <c r="J22" s="815"/>
      <c r="K22" s="815"/>
      <c r="L22" s="815"/>
      <c r="M22" s="815"/>
      <c r="N22" s="816"/>
      <c r="O22" s="817"/>
      <c r="Q22" s="732">
        <f>0.013</f>
        <v>0.013</v>
      </c>
      <c r="R22" s="732">
        <v>15800</v>
      </c>
      <c r="S22" s="733">
        <v>0</v>
      </c>
      <c r="T22" s="733">
        <v>18</v>
      </c>
      <c r="U22" s="734">
        <f t="shared" si="0"/>
        <v>0</v>
      </c>
    </row>
    <row r="23" spans="1:21" s="733" customFormat="1" ht="13.5" thickBot="1">
      <c r="A23" s="826"/>
      <c r="B23" s="827" t="s">
        <v>322</v>
      </c>
      <c r="C23" s="828">
        <v>28</v>
      </c>
      <c r="D23" s="829">
        <v>240000</v>
      </c>
      <c r="E23" s="829">
        <v>0.0066</v>
      </c>
      <c r="F23" s="829">
        <v>0.00067</v>
      </c>
      <c r="G23" s="829">
        <v>126000</v>
      </c>
      <c r="H23" s="830">
        <v>1300000</v>
      </c>
      <c r="I23" s="831"/>
      <c r="J23" s="832"/>
      <c r="K23" s="832"/>
      <c r="L23" s="832"/>
      <c r="M23" s="832"/>
      <c r="N23" s="833"/>
      <c r="O23" s="817"/>
      <c r="Q23" s="736">
        <v>0.00067</v>
      </c>
      <c r="R23" s="736">
        <v>126000</v>
      </c>
      <c r="S23" s="733">
        <v>0</v>
      </c>
      <c r="T23" s="733">
        <v>2.2</v>
      </c>
      <c r="U23" s="734">
        <f t="shared" si="0"/>
        <v>0</v>
      </c>
    </row>
    <row r="24" spans="1:21" s="733" customFormat="1" ht="12.75">
      <c r="A24" s="834" t="s">
        <v>323</v>
      </c>
      <c r="B24" s="810" t="s">
        <v>160</v>
      </c>
      <c r="C24" s="811">
        <v>6.5</v>
      </c>
      <c r="D24" s="812">
        <v>78000</v>
      </c>
      <c r="E24" s="812">
        <v>1750</v>
      </c>
      <c r="F24" s="812">
        <v>0.228</v>
      </c>
      <c r="G24" s="812">
        <v>62</v>
      </c>
      <c r="H24" s="813">
        <v>876500</v>
      </c>
      <c r="I24" s="835">
        <v>0.33</v>
      </c>
      <c r="J24" s="836">
        <v>0.21</v>
      </c>
      <c r="K24" s="836">
        <v>0.09</v>
      </c>
      <c r="L24" s="836">
        <v>0.047</v>
      </c>
      <c r="M24" s="836">
        <v>0.22</v>
      </c>
      <c r="N24" s="837">
        <v>1.3</v>
      </c>
      <c r="O24" s="817"/>
      <c r="Q24" s="732">
        <v>0.228</v>
      </c>
      <c r="R24" s="732">
        <v>62</v>
      </c>
      <c r="S24" s="733">
        <v>0.025</v>
      </c>
      <c r="T24" s="733">
        <v>0</v>
      </c>
      <c r="U24" s="734">
        <f t="shared" si="0"/>
        <v>1.55</v>
      </c>
    </row>
    <row r="25" spans="1:21" s="733" customFormat="1" ht="12.75">
      <c r="A25" s="834" t="s">
        <v>324</v>
      </c>
      <c r="B25" s="810" t="s">
        <v>162</v>
      </c>
      <c r="C25" s="811">
        <v>7.6</v>
      </c>
      <c r="D25" s="812">
        <v>92000</v>
      </c>
      <c r="E25" s="812">
        <v>526</v>
      </c>
      <c r="F25" s="812">
        <v>0.272</v>
      </c>
      <c r="G25" s="812">
        <v>140</v>
      </c>
      <c r="H25" s="813">
        <v>866900</v>
      </c>
      <c r="I25" s="835">
        <v>0.32</v>
      </c>
      <c r="J25" s="836">
        <v>0.21</v>
      </c>
      <c r="K25" s="836">
        <v>0.09</v>
      </c>
      <c r="L25" s="836">
        <v>0.046</v>
      </c>
      <c r="M25" s="836">
        <v>0.21</v>
      </c>
      <c r="N25" s="837">
        <v>1.28</v>
      </c>
      <c r="O25" s="817"/>
      <c r="Q25" s="732">
        <v>0.272</v>
      </c>
      <c r="R25" s="732">
        <v>140</v>
      </c>
      <c r="S25" s="733">
        <v>0.12</v>
      </c>
      <c r="T25" s="733">
        <v>0</v>
      </c>
      <c r="U25" s="734">
        <f t="shared" si="0"/>
        <v>16.8</v>
      </c>
    </row>
    <row r="26" spans="1:21" s="733" customFormat="1" ht="12.75">
      <c r="A26" s="834" t="s">
        <v>325</v>
      </c>
      <c r="B26" s="810" t="s">
        <v>161</v>
      </c>
      <c r="C26" s="811">
        <v>8.5</v>
      </c>
      <c r="D26" s="812">
        <v>106000</v>
      </c>
      <c r="E26" s="812">
        <v>169</v>
      </c>
      <c r="F26" s="812">
        <v>0.323</v>
      </c>
      <c r="G26" s="812">
        <v>204</v>
      </c>
      <c r="H26" s="813">
        <v>867000</v>
      </c>
      <c r="I26" s="835">
        <v>0.32</v>
      </c>
      <c r="J26" s="836">
        <v>0.2</v>
      </c>
      <c r="K26" s="836">
        <v>0.09</v>
      </c>
      <c r="L26" s="836">
        <v>0.045</v>
      </c>
      <c r="M26" s="836">
        <v>0.21</v>
      </c>
      <c r="N26" s="837">
        <v>1.27</v>
      </c>
      <c r="O26" s="817"/>
      <c r="Q26" s="732">
        <v>0.323</v>
      </c>
      <c r="R26" s="732">
        <v>204</v>
      </c>
      <c r="S26" s="733">
        <v>0.02</v>
      </c>
      <c r="T26" s="733">
        <v>0</v>
      </c>
      <c r="U26" s="734">
        <f t="shared" si="0"/>
        <v>4.08</v>
      </c>
    </row>
    <row r="27" spans="1:21" s="733" customFormat="1" ht="13.5" thickBot="1">
      <c r="A27" s="838"/>
      <c r="B27" s="827" t="s">
        <v>326</v>
      </c>
      <c r="C27" s="828">
        <v>8.67</v>
      </c>
      <c r="D27" s="829">
        <v>106000</v>
      </c>
      <c r="E27" s="829">
        <v>171</v>
      </c>
      <c r="F27" s="829">
        <v>0.279</v>
      </c>
      <c r="G27" s="829">
        <v>233</v>
      </c>
      <c r="H27" s="830">
        <v>875170</v>
      </c>
      <c r="I27" s="839">
        <v>0.32</v>
      </c>
      <c r="J27" s="840">
        <v>0.2</v>
      </c>
      <c r="K27" s="840">
        <v>0.09</v>
      </c>
      <c r="L27" s="840">
        <v>0.045</v>
      </c>
      <c r="M27" s="840">
        <v>0.21</v>
      </c>
      <c r="N27" s="841">
        <v>1.28</v>
      </c>
      <c r="O27" s="817"/>
      <c r="Q27" s="736">
        <v>0.279</v>
      </c>
      <c r="R27" s="736">
        <v>233</v>
      </c>
      <c r="S27" s="733">
        <v>0.11</v>
      </c>
      <c r="T27" s="733">
        <v>0</v>
      </c>
      <c r="U27" s="734">
        <f t="shared" si="0"/>
        <v>25.63</v>
      </c>
    </row>
    <row r="28" spans="1:21" s="733" customFormat="1" ht="12.75">
      <c r="A28" s="834"/>
      <c r="B28" s="810" t="s">
        <v>362</v>
      </c>
      <c r="C28" s="811"/>
      <c r="D28" s="812"/>
      <c r="E28" s="812"/>
      <c r="F28" s="812">
        <f>AVERAGE(F24:F27)</f>
        <v>0.27549999999999997</v>
      </c>
      <c r="G28" s="812">
        <f>AVERAGE(G24:G27)</f>
        <v>159.75</v>
      </c>
      <c r="H28" s="813">
        <f>AVERAGE(H24:H27)</f>
        <v>871392.5</v>
      </c>
      <c r="I28" s="835">
        <v>0.32</v>
      </c>
      <c r="J28" s="836">
        <v>0.21</v>
      </c>
      <c r="K28" s="836">
        <v>0.06</v>
      </c>
      <c r="L28" s="836">
        <v>0.05</v>
      </c>
      <c r="M28" s="836">
        <v>0.21</v>
      </c>
      <c r="N28" s="837">
        <v>1.28</v>
      </c>
      <c r="O28" s="817"/>
      <c r="Q28" s="737"/>
      <c r="R28" s="737"/>
      <c r="U28" s="734">
        <f t="shared" si="0"/>
        <v>0</v>
      </c>
    </row>
    <row r="29" spans="1:21" s="733" customFormat="1" ht="12.75">
      <c r="A29" s="834"/>
      <c r="B29" s="810" t="s">
        <v>327</v>
      </c>
      <c r="C29" s="811"/>
      <c r="D29" s="812">
        <v>100000</v>
      </c>
      <c r="E29" s="812">
        <v>160</v>
      </c>
      <c r="F29" s="812">
        <f>F28</f>
        <v>0.27549999999999997</v>
      </c>
      <c r="G29" s="812">
        <f>G28</f>
        <v>159.75</v>
      </c>
      <c r="H29" s="813">
        <v>760000</v>
      </c>
      <c r="I29" s="835">
        <v>0.32</v>
      </c>
      <c r="J29" s="836">
        <v>0.21</v>
      </c>
      <c r="K29" s="836">
        <v>0.06</v>
      </c>
      <c r="L29" s="836">
        <v>0.05</v>
      </c>
      <c r="M29" s="836">
        <v>0.21</v>
      </c>
      <c r="N29" s="837">
        <v>1.28</v>
      </c>
      <c r="O29" s="817"/>
      <c r="Q29" s="737"/>
      <c r="R29" s="737"/>
      <c r="U29" s="734">
        <f t="shared" si="0"/>
        <v>0</v>
      </c>
    </row>
    <row r="30" spans="1:21" s="733" customFormat="1" ht="12.75">
      <c r="A30" s="834"/>
      <c r="B30" s="810" t="s">
        <v>328</v>
      </c>
      <c r="C30" s="811"/>
      <c r="D30" s="812">
        <v>200000</v>
      </c>
      <c r="E30" s="812">
        <v>10</v>
      </c>
      <c r="F30" s="812"/>
      <c r="G30" s="812"/>
      <c r="H30" s="813">
        <v>845000</v>
      </c>
      <c r="I30" s="835">
        <v>0.32</v>
      </c>
      <c r="J30" s="836">
        <v>0.21</v>
      </c>
      <c r="K30" s="836">
        <v>0.06</v>
      </c>
      <c r="L30" s="836">
        <v>0.05</v>
      </c>
      <c r="M30" s="836">
        <v>0.21</v>
      </c>
      <c r="N30" s="837">
        <v>1.28</v>
      </c>
      <c r="O30" s="817"/>
      <c r="Q30" s="737"/>
      <c r="R30" s="737"/>
      <c r="U30" s="734">
        <f t="shared" si="0"/>
        <v>0</v>
      </c>
    </row>
    <row r="31" spans="1:21" s="733" customFormat="1" ht="12.75">
      <c r="A31" s="834"/>
      <c r="B31" s="810" t="s">
        <v>329</v>
      </c>
      <c r="C31" s="811">
        <v>11.69</v>
      </c>
      <c r="D31" s="812">
        <v>128000</v>
      </c>
      <c r="E31" s="812">
        <v>31</v>
      </c>
      <c r="F31" s="812">
        <v>0.0198</v>
      </c>
      <c r="G31" s="812">
        <v>1191</v>
      </c>
      <c r="H31" s="813">
        <v>1145000</v>
      </c>
      <c r="I31" s="814"/>
      <c r="J31" s="815"/>
      <c r="K31" s="815"/>
      <c r="L31" s="815"/>
      <c r="M31" s="815"/>
      <c r="N31" s="816"/>
      <c r="O31" s="817"/>
      <c r="Q31" s="737">
        <v>0.0198</v>
      </c>
      <c r="R31" s="737">
        <v>1191</v>
      </c>
      <c r="U31" s="734">
        <f t="shared" si="0"/>
        <v>0</v>
      </c>
    </row>
    <row r="32" spans="1:21" s="733" customFormat="1" ht="12.75">
      <c r="A32" s="834" t="s">
        <v>330</v>
      </c>
      <c r="B32" s="810" t="s">
        <v>331</v>
      </c>
      <c r="C32" s="811">
        <v>6</v>
      </c>
      <c r="D32" s="812">
        <v>86000</v>
      </c>
      <c r="E32" s="812">
        <v>9.5</v>
      </c>
      <c r="F32" s="812">
        <v>74</v>
      </c>
      <c r="G32" s="812">
        <v>3410</v>
      </c>
      <c r="H32" s="813">
        <v>659370</v>
      </c>
      <c r="I32" s="814"/>
      <c r="J32" s="815"/>
      <c r="K32" s="815"/>
      <c r="L32" s="815"/>
      <c r="M32" s="815"/>
      <c r="N32" s="816"/>
      <c r="O32" s="817"/>
      <c r="Q32" s="737">
        <v>74</v>
      </c>
      <c r="R32" s="737">
        <v>3410</v>
      </c>
      <c r="S32" s="733">
        <v>0.03</v>
      </c>
      <c r="U32" s="734">
        <f t="shared" si="0"/>
        <v>102.3</v>
      </c>
    </row>
    <row r="33" spans="1:21" s="733" customFormat="1" ht="12.75" customHeight="1" thickBot="1">
      <c r="A33" s="838" t="s">
        <v>332</v>
      </c>
      <c r="B33" s="827" t="s">
        <v>333</v>
      </c>
      <c r="C33" s="828"/>
      <c r="D33" s="829">
        <v>88000</v>
      </c>
      <c r="E33" s="829">
        <v>50000</v>
      </c>
      <c r="F33" s="829">
        <v>0.018</v>
      </c>
      <c r="G33" s="829">
        <v>10.9</v>
      </c>
      <c r="H33" s="830">
        <v>744000</v>
      </c>
      <c r="I33" s="831"/>
      <c r="J33" s="832"/>
      <c r="K33" s="832"/>
      <c r="L33" s="832"/>
      <c r="M33" s="832"/>
      <c r="N33" s="833"/>
      <c r="O33" s="817"/>
      <c r="Q33" s="738">
        <v>0.018</v>
      </c>
      <c r="R33" s="738">
        <v>10.9</v>
      </c>
      <c r="U33" s="734">
        <f t="shared" si="0"/>
        <v>0</v>
      </c>
    </row>
    <row r="34" spans="1:21" s="733" customFormat="1" ht="12.75">
      <c r="A34" s="842" t="s">
        <v>334</v>
      </c>
      <c r="B34" s="843" t="s">
        <v>335</v>
      </c>
      <c r="C34" s="844"/>
      <c r="D34" s="845">
        <f>187.9*1000</f>
        <v>187900</v>
      </c>
      <c r="E34" s="845">
        <v>3400</v>
      </c>
      <c r="F34" s="845">
        <v>0.0129</v>
      </c>
      <c r="G34" s="845">
        <v>66</v>
      </c>
      <c r="H34" s="846">
        <f>2.17*1000000</f>
        <v>2170000</v>
      </c>
      <c r="I34" s="814"/>
      <c r="J34" s="815"/>
      <c r="K34" s="815"/>
      <c r="L34" s="815"/>
      <c r="M34" s="815"/>
      <c r="N34" s="816"/>
      <c r="O34" s="817"/>
      <c r="Q34" s="739">
        <v>0.0129</v>
      </c>
      <c r="R34" s="739">
        <v>66</v>
      </c>
      <c r="U34" s="734">
        <f t="shared" si="0"/>
        <v>0</v>
      </c>
    </row>
    <row r="35" spans="1:21" s="733" customFormat="1" ht="13.5" thickBot="1">
      <c r="A35" s="847" t="s">
        <v>336</v>
      </c>
      <c r="B35" s="848" t="s">
        <v>337</v>
      </c>
      <c r="C35" s="849"/>
      <c r="D35" s="850">
        <f>99*1000</f>
        <v>99000</v>
      </c>
      <c r="E35" s="850">
        <v>8520</v>
      </c>
      <c r="F35" s="850">
        <v>0.0401</v>
      </c>
      <c r="G35" s="850">
        <v>38</v>
      </c>
      <c r="H35" s="851">
        <f>1.253*1000000</f>
        <v>1253000</v>
      </c>
      <c r="I35" s="823"/>
      <c r="J35" s="824"/>
      <c r="K35" s="824"/>
      <c r="L35" s="824"/>
      <c r="M35" s="824"/>
      <c r="N35" s="825"/>
      <c r="O35" s="817"/>
      <c r="Q35" s="740">
        <v>0.0401</v>
      </c>
      <c r="R35" s="740">
        <v>38</v>
      </c>
      <c r="U35" s="734">
        <f t="shared" si="0"/>
        <v>0</v>
      </c>
    </row>
    <row r="36" spans="1:21" s="733" customFormat="1" ht="14.25" customHeight="1">
      <c r="A36" s="852"/>
      <c r="B36" s="869"/>
      <c r="C36" s="853"/>
      <c r="D36" s="854"/>
      <c r="E36" s="854"/>
      <c r="F36" s="854"/>
      <c r="G36" s="854"/>
      <c r="H36" s="854"/>
      <c r="I36" s="817"/>
      <c r="J36" s="817"/>
      <c r="K36" s="817"/>
      <c r="L36" s="817"/>
      <c r="M36" s="817"/>
      <c r="N36" s="817"/>
      <c r="O36" s="817"/>
      <c r="S36" s="733">
        <f>SUM(S12:S35)</f>
        <v>1</v>
      </c>
      <c r="T36" s="733">
        <f>SUM(T14:T35)</f>
        <v>99.6</v>
      </c>
      <c r="U36" s="734">
        <f>SUM(U15:U35)</f>
        <v>7438.51</v>
      </c>
    </row>
    <row r="37" spans="1:8" s="733" customFormat="1" ht="12.75">
      <c r="A37" s="741"/>
      <c r="B37" s="742"/>
      <c r="C37" s="741"/>
      <c r="D37" s="741"/>
      <c r="E37" s="741"/>
      <c r="F37" s="741"/>
      <c r="G37" s="741"/>
      <c r="H37" s="741"/>
    </row>
    <row r="38" spans="1:8" s="733" customFormat="1" ht="12.75">
      <c r="A38" s="741"/>
      <c r="B38" s="742"/>
      <c r="C38" s="741"/>
      <c r="D38" s="741"/>
      <c r="E38" s="741"/>
      <c r="F38" s="741"/>
      <c r="G38" s="741"/>
      <c r="H38" s="741"/>
    </row>
    <row r="39" spans="1:8" s="733" customFormat="1" ht="12.75">
      <c r="A39" s="741"/>
      <c r="B39" s="742"/>
      <c r="C39" s="741"/>
      <c r="D39" s="741"/>
      <c r="E39" s="741"/>
      <c r="F39" s="741"/>
      <c r="G39" s="741"/>
      <c r="H39" s="741"/>
    </row>
    <row r="40" spans="1:8" s="733" customFormat="1" ht="12.75">
      <c r="A40" s="741"/>
      <c r="B40" s="742"/>
      <c r="C40" s="741"/>
      <c r="D40" s="741"/>
      <c r="E40" s="741"/>
      <c r="F40" s="741"/>
      <c r="G40" s="741"/>
      <c r="H40" s="741"/>
    </row>
    <row r="41" spans="1:8" s="733" customFormat="1" ht="12.75">
      <c r="A41" s="741"/>
      <c r="B41" s="742"/>
      <c r="C41" s="741"/>
      <c r="D41" s="741"/>
      <c r="E41" s="741"/>
      <c r="F41" s="741"/>
      <c r="G41" s="741"/>
      <c r="H41" s="741"/>
    </row>
    <row r="42" spans="1:8" s="733" customFormat="1" ht="12.75">
      <c r="A42" s="741"/>
      <c r="B42" s="742"/>
      <c r="C42" s="741"/>
      <c r="D42" s="741"/>
      <c r="E42" s="741"/>
      <c r="F42" s="741"/>
      <c r="G42" s="741"/>
      <c r="H42" s="741"/>
    </row>
    <row r="43" spans="1:8" s="733" customFormat="1" ht="12.75">
      <c r="A43" s="741"/>
      <c r="B43" s="742"/>
      <c r="C43" s="741"/>
      <c r="D43" s="741"/>
      <c r="E43" s="741"/>
      <c r="F43" s="741"/>
      <c r="G43" s="741"/>
      <c r="H43" s="741"/>
    </row>
    <row r="44" spans="1:8" s="733" customFormat="1" ht="12.75">
      <c r="A44" s="741"/>
      <c r="B44" s="742"/>
      <c r="C44" s="741"/>
      <c r="D44" s="741"/>
      <c r="E44" s="741"/>
      <c r="F44" s="741"/>
      <c r="G44" s="741"/>
      <c r="H44" s="741"/>
    </row>
    <row r="45" spans="1:8" s="733" customFormat="1" ht="12.75">
      <c r="A45" s="741"/>
      <c r="B45" s="742"/>
      <c r="C45" s="741"/>
      <c r="D45" s="741"/>
      <c r="E45" s="741"/>
      <c r="F45" s="741"/>
      <c r="G45" s="741"/>
      <c r="H45" s="741"/>
    </row>
    <row r="46" spans="1:8" s="733" customFormat="1" ht="12.75">
      <c r="A46" s="741"/>
      <c r="B46" s="742"/>
      <c r="C46" s="741"/>
      <c r="D46" s="741"/>
      <c r="E46" s="741"/>
      <c r="F46" s="741"/>
      <c r="G46" s="741"/>
      <c r="H46" s="741"/>
    </row>
    <row r="47" spans="1:8" s="733" customFormat="1" ht="12.75">
      <c r="A47" s="741"/>
      <c r="B47" s="742"/>
      <c r="C47" s="741"/>
      <c r="D47" s="741"/>
      <c r="E47" s="741"/>
      <c r="F47" s="741"/>
      <c r="G47" s="741"/>
      <c r="H47" s="741"/>
    </row>
    <row r="48" spans="1:8" s="733" customFormat="1" ht="12.75">
      <c r="A48" s="741"/>
      <c r="B48" s="742"/>
      <c r="C48" s="741"/>
      <c r="D48" s="741"/>
      <c r="E48" s="741"/>
      <c r="F48" s="741"/>
      <c r="G48" s="741"/>
      <c r="H48" s="741"/>
    </row>
    <row r="49" spans="1:8" s="733" customFormat="1" ht="12.75">
      <c r="A49" s="741"/>
      <c r="B49" s="742"/>
      <c r="C49" s="741"/>
      <c r="D49" s="741"/>
      <c r="E49" s="741"/>
      <c r="F49" s="741"/>
      <c r="G49" s="741"/>
      <c r="H49" s="741"/>
    </row>
    <row r="50" spans="1:8" s="733" customFormat="1" ht="12.75">
      <c r="A50" s="741"/>
      <c r="B50" s="742"/>
      <c r="C50" s="741"/>
      <c r="D50" s="741"/>
      <c r="E50" s="741"/>
      <c r="F50" s="741"/>
      <c r="G50" s="741"/>
      <c r="H50" s="741"/>
    </row>
    <row r="51" spans="1:8" s="733" customFormat="1" ht="12.75">
      <c r="A51" s="741"/>
      <c r="B51" s="742"/>
      <c r="C51" s="741"/>
      <c r="D51" s="741"/>
      <c r="E51" s="741"/>
      <c r="F51" s="741"/>
      <c r="G51" s="741"/>
      <c r="H51" s="741"/>
    </row>
    <row r="52" spans="1:8" s="733" customFormat="1" ht="12.75">
      <c r="A52" s="741"/>
      <c r="B52" s="742"/>
      <c r="C52" s="741"/>
      <c r="D52" s="741"/>
      <c r="E52" s="741"/>
      <c r="F52" s="741"/>
      <c r="G52" s="741"/>
      <c r="H52" s="741"/>
    </row>
    <row r="53" spans="1:8" s="733" customFormat="1" ht="12.75">
      <c r="A53" s="741"/>
      <c r="B53" s="742"/>
      <c r="C53" s="741"/>
      <c r="D53" s="741"/>
      <c r="E53" s="741"/>
      <c r="F53" s="741"/>
      <c r="G53" s="741"/>
      <c r="H53" s="741"/>
    </row>
    <row r="54" spans="1:8" s="733" customFormat="1" ht="12.75">
      <c r="A54" s="741"/>
      <c r="B54" s="742"/>
      <c r="C54" s="741"/>
      <c r="D54" s="741"/>
      <c r="E54" s="741"/>
      <c r="F54" s="741"/>
      <c r="G54" s="741"/>
      <c r="H54" s="741"/>
    </row>
    <row r="55" spans="1:8" s="733" customFormat="1" ht="12.75">
      <c r="A55" s="741"/>
      <c r="B55" s="742"/>
      <c r="C55" s="741"/>
      <c r="D55" s="741"/>
      <c r="E55" s="741"/>
      <c r="F55" s="741"/>
      <c r="G55" s="741"/>
      <c r="H55" s="741"/>
    </row>
    <row r="56" spans="1:8" s="733" customFormat="1" ht="12.75">
      <c r="A56" s="741"/>
      <c r="B56" s="742"/>
      <c r="C56" s="741"/>
      <c r="D56" s="741"/>
      <c r="E56" s="741"/>
      <c r="F56" s="741"/>
      <c r="G56" s="741"/>
      <c r="H56" s="741"/>
    </row>
    <row r="57" spans="1:8" s="733" customFormat="1" ht="12.75">
      <c r="A57" s="741"/>
      <c r="B57" s="742"/>
      <c r="C57" s="741"/>
      <c r="D57" s="741"/>
      <c r="E57" s="741"/>
      <c r="F57" s="741"/>
      <c r="G57" s="741"/>
      <c r="H57" s="741"/>
    </row>
    <row r="58" spans="1:8" s="733" customFormat="1" ht="12.75">
      <c r="A58" s="741"/>
      <c r="B58" s="742"/>
      <c r="C58" s="741"/>
      <c r="D58" s="741"/>
      <c r="E58" s="741"/>
      <c r="F58" s="741"/>
      <c r="G58" s="741"/>
      <c r="H58" s="741"/>
    </row>
    <row r="59" spans="1:8" s="733" customFormat="1" ht="12.75">
      <c r="A59" s="741"/>
      <c r="B59" s="742"/>
      <c r="C59" s="741"/>
      <c r="D59" s="741"/>
      <c r="E59" s="741"/>
      <c r="F59" s="741"/>
      <c r="G59" s="741"/>
      <c r="H59" s="741"/>
    </row>
    <row r="60" spans="1:8" s="733" customFormat="1" ht="12.75">
      <c r="A60" s="741"/>
      <c r="B60" s="742"/>
      <c r="C60" s="741"/>
      <c r="D60" s="741"/>
      <c r="E60" s="741"/>
      <c r="F60" s="741"/>
      <c r="G60" s="741"/>
      <c r="H60" s="741"/>
    </row>
    <row r="61" spans="1:8" s="733" customFormat="1" ht="12.75">
      <c r="A61" s="741"/>
      <c r="B61" s="742"/>
      <c r="C61" s="741"/>
      <c r="D61" s="741"/>
      <c r="E61" s="741"/>
      <c r="F61" s="741"/>
      <c r="G61" s="741"/>
      <c r="H61" s="741"/>
    </row>
    <row r="62" spans="1:8" s="733" customFormat="1" ht="12.75">
      <c r="A62" s="741"/>
      <c r="B62" s="742"/>
      <c r="C62" s="741"/>
      <c r="D62" s="741"/>
      <c r="E62" s="741"/>
      <c r="F62" s="741"/>
      <c r="G62" s="741"/>
      <c r="H62" s="741"/>
    </row>
    <row r="63" spans="1:8" s="733" customFormat="1" ht="12.75">
      <c r="A63" s="741"/>
      <c r="B63" s="742"/>
      <c r="C63" s="741"/>
      <c r="D63" s="741"/>
      <c r="E63" s="741"/>
      <c r="F63" s="741"/>
      <c r="G63" s="741"/>
      <c r="H63" s="741"/>
    </row>
    <row r="64" spans="1:8" s="733" customFormat="1" ht="12.75">
      <c r="A64" s="741"/>
      <c r="B64" s="742"/>
      <c r="C64" s="741"/>
      <c r="D64" s="741"/>
      <c r="E64" s="741"/>
      <c r="F64" s="741"/>
      <c r="G64" s="741"/>
      <c r="H64" s="741"/>
    </row>
    <row r="65" spans="1:8" s="733" customFormat="1" ht="12.75">
      <c r="A65" s="741"/>
      <c r="B65" s="742"/>
      <c r="C65" s="741"/>
      <c r="D65" s="741"/>
      <c r="E65" s="741"/>
      <c r="F65" s="741"/>
      <c r="G65" s="741"/>
      <c r="H65" s="741"/>
    </row>
    <row r="66" spans="1:8" s="733" customFormat="1" ht="12.75">
      <c r="A66" s="741"/>
      <c r="B66" s="742"/>
      <c r="C66" s="741"/>
      <c r="D66" s="741"/>
      <c r="E66" s="741"/>
      <c r="F66" s="741"/>
      <c r="G66" s="741"/>
      <c r="H66" s="741"/>
    </row>
    <row r="67" spans="1:8" s="733" customFormat="1" ht="12.75">
      <c r="A67" s="741"/>
      <c r="B67" s="742"/>
      <c r="C67" s="741"/>
      <c r="D67" s="741"/>
      <c r="E67" s="741"/>
      <c r="F67" s="741"/>
      <c r="G67" s="741"/>
      <c r="H67" s="741"/>
    </row>
    <row r="68" spans="1:8" s="733" customFormat="1" ht="12.75">
      <c r="A68" s="741"/>
      <c r="B68" s="742"/>
      <c r="C68" s="741"/>
      <c r="D68" s="741"/>
      <c r="E68" s="741"/>
      <c r="F68" s="741"/>
      <c r="G68" s="741"/>
      <c r="H68" s="741"/>
    </row>
    <row r="69" spans="1:8" s="733" customFormat="1" ht="12.75">
      <c r="A69" s="741"/>
      <c r="B69" s="742"/>
      <c r="C69" s="741"/>
      <c r="D69" s="741"/>
      <c r="E69" s="741"/>
      <c r="F69" s="741"/>
      <c r="G69" s="741"/>
      <c r="H69" s="741"/>
    </row>
    <row r="70" spans="1:8" s="733" customFormat="1" ht="12.75">
      <c r="A70" s="741"/>
      <c r="B70" s="742"/>
      <c r="C70" s="741"/>
      <c r="D70" s="741"/>
      <c r="E70" s="741"/>
      <c r="F70" s="741"/>
      <c r="G70" s="741"/>
      <c r="H70" s="741"/>
    </row>
    <row r="71" spans="1:8" s="733" customFormat="1" ht="12.75">
      <c r="A71" s="741"/>
      <c r="B71" s="742"/>
      <c r="C71" s="741"/>
      <c r="D71" s="741"/>
      <c r="E71" s="741"/>
      <c r="F71" s="741"/>
      <c r="G71" s="741"/>
      <c r="H71" s="741"/>
    </row>
    <row r="72" spans="1:8" s="733" customFormat="1" ht="12.75">
      <c r="A72" s="741"/>
      <c r="B72" s="742"/>
      <c r="C72" s="741"/>
      <c r="D72" s="741"/>
      <c r="E72" s="741"/>
      <c r="F72" s="741"/>
      <c r="G72" s="741"/>
      <c r="H72" s="741"/>
    </row>
    <row r="73" spans="1:8" s="733" customFormat="1" ht="12.75">
      <c r="A73" s="741"/>
      <c r="B73" s="742"/>
      <c r="C73" s="741"/>
      <c r="D73" s="741"/>
      <c r="E73" s="741"/>
      <c r="F73" s="741"/>
      <c r="G73" s="741"/>
      <c r="H73" s="741"/>
    </row>
    <row r="74" spans="1:8" s="733" customFormat="1" ht="12.75">
      <c r="A74" s="741"/>
      <c r="B74" s="742"/>
      <c r="C74" s="741"/>
      <c r="D74" s="741"/>
      <c r="E74" s="741"/>
      <c r="F74" s="741"/>
      <c r="G74" s="741"/>
      <c r="H74" s="741"/>
    </row>
    <row r="75" spans="1:8" s="733" customFormat="1" ht="12.75">
      <c r="A75" s="741"/>
      <c r="B75" s="742"/>
      <c r="C75" s="741"/>
      <c r="D75" s="741"/>
      <c r="E75" s="741"/>
      <c r="F75" s="741"/>
      <c r="G75" s="741"/>
      <c r="H75" s="741"/>
    </row>
    <row r="76" spans="1:8" s="733" customFormat="1" ht="12.75">
      <c r="A76" s="741"/>
      <c r="B76" s="742"/>
      <c r="C76" s="741"/>
      <c r="D76" s="741"/>
      <c r="E76" s="741"/>
      <c r="F76" s="741"/>
      <c r="G76" s="741"/>
      <c r="H76" s="741"/>
    </row>
    <row r="77" spans="1:8" s="733" customFormat="1" ht="12.75">
      <c r="A77" s="741"/>
      <c r="B77" s="742"/>
      <c r="C77" s="741"/>
      <c r="D77" s="741"/>
      <c r="E77" s="741"/>
      <c r="F77" s="741"/>
      <c r="G77" s="741"/>
      <c r="H77" s="741"/>
    </row>
    <row r="78" spans="1:8" s="733" customFormat="1" ht="12.75">
      <c r="A78" s="741"/>
      <c r="B78" s="742"/>
      <c r="C78" s="741"/>
      <c r="D78" s="741"/>
      <c r="E78" s="741"/>
      <c r="F78" s="741"/>
      <c r="G78" s="741"/>
      <c r="H78" s="741"/>
    </row>
    <row r="79" spans="1:8" s="733" customFormat="1" ht="12.75">
      <c r="A79" s="741"/>
      <c r="B79" s="742"/>
      <c r="C79" s="741"/>
      <c r="D79" s="741"/>
      <c r="E79" s="741"/>
      <c r="F79" s="741"/>
      <c r="G79" s="741"/>
      <c r="H79" s="741"/>
    </row>
    <row r="80" spans="1:8" s="733" customFormat="1" ht="12.75">
      <c r="A80" s="741"/>
      <c r="B80" s="742"/>
      <c r="C80" s="741"/>
      <c r="D80" s="741"/>
      <c r="E80" s="741"/>
      <c r="F80" s="741"/>
      <c r="G80" s="741"/>
      <c r="H80" s="741"/>
    </row>
    <row r="81" spans="1:8" s="733" customFormat="1" ht="12.75">
      <c r="A81" s="741"/>
      <c r="B81" s="742"/>
      <c r="C81" s="741"/>
      <c r="D81" s="741"/>
      <c r="E81" s="741"/>
      <c r="F81" s="741"/>
      <c r="G81" s="741"/>
      <c r="H81" s="741"/>
    </row>
    <row r="82" spans="1:8" s="733" customFormat="1" ht="12.75">
      <c r="A82" s="741"/>
      <c r="B82" s="742"/>
      <c r="C82" s="741"/>
      <c r="D82" s="741"/>
      <c r="E82" s="741"/>
      <c r="F82" s="741"/>
      <c r="G82" s="741"/>
      <c r="H82" s="741"/>
    </row>
  </sheetData>
  <sheetProtection/>
  <mergeCells count="3">
    <mergeCell ref="S6:T6"/>
    <mergeCell ref="D3:H3"/>
    <mergeCell ref="I3:N3"/>
  </mergeCells>
  <printOptions horizontalCentered="1" verticalCentered="1"/>
  <pageMargins left="0.65" right="0.54" top="1.22" bottom="0" header="0.38" footer="0.5"/>
  <pageSetup blackAndWhite="1" horizontalDpi="300" verticalDpi="300" orientation="landscape" scale="74" r:id="rId3"/>
  <headerFooter alignWithMargins="0">
    <oddHeader>&amp;LWashington State Department of Ecology, TCP Program&amp;R&amp;D</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75" defaultRowHeight="4.5" customHeight="1"/>
  <cols>
    <col min="1" max="16384" width="0.875" style="2"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3"/>
  <dimension ref="A1:AB58"/>
  <sheetViews>
    <sheetView showGridLines="0" showRowColHeaders="0" zoomScale="93" zoomScaleNormal="93" zoomScalePageLayoutView="0" workbookViewId="0" topLeftCell="A1">
      <selection activeCell="A1" sqref="A1"/>
    </sheetView>
  </sheetViews>
  <sheetFormatPr defaultColWidth="9.00390625" defaultRowHeight="12.75"/>
  <cols>
    <col min="1" max="1" width="0.875" style="396" customWidth="1"/>
    <col min="2" max="2" width="12.50390625" style="396" customWidth="1"/>
    <col min="3" max="3" width="5.50390625" style="396" hidden="1" customWidth="1"/>
    <col min="4" max="4" width="9.00390625" style="396" customWidth="1"/>
    <col min="5" max="5" width="10.375" style="396" customWidth="1"/>
    <col min="6" max="6" width="9.125" style="396" customWidth="1"/>
    <col min="7" max="7" width="11.50390625" style="396" customWidth="1"/>
    <col min="8" max="8" width="9.25390625" style="396" customWidth="1"/>
    <col min="9" max="9" width="10.75390625" style="396" customWidth="1"/>
    <col min="10" max="10" width="9.50390625" style="396" customWidth="1"/>
    <col min="11" max="11" width="7.75390625" style="421" customWidth="1"/>
    <col min="12" max="12" width="8.625" style="421" customWidth="1"/>
    <col min="13" max="16" width="7.75390625" style="421" customWidth="1"/>
    <col min="17" max="17" width="8.375" style="421" customWidth="1"/>
    <col min="18" max="18" width="7.75390625" style="421" customWidth="1"/>
    <col min="19" max="19" width="4.375" style="396" customWidth="1"/>
    <col min="20" max="21" width="5.00390625" style="396" customWidth="1"/>
    <col min="22" max="22" width="11.75390625" style="396" customWidth="1"/>
    <col min="23" max="23" width="15.50390625" style="396" customWidth="1"/>
    <col min="24" max="24" width="19.00390625" style="396" customWidth="1"/>
    <col min="25" max="25" width="13.875" style="396" customWidth="1"/>
    <col min="26" max="26" width="17.375" style="396" customWidth="1"/>
    <col min="27" max="27" width="8.875" style="396" customWidth="1"/>
    <col min="28" max="28" width="15.875" style="396" customWidth="1"/>
    <col min="29" max="16384" width="8.875" style="396" customWidth="1"/>
  </cols>
  <sheetData>
    <row r="1" spans="1:19" ht="18.75">
      <c r="A1" s="393"/>
      <c r="B1" s="394" t="s">
        <v>670</v>
      </c>
      <c r="C1" s="393"/>
      <c r="D1" s="394"/>
      <c r="E1" s="393"/>
      <c r="F1" s="393"/>
      <c r="G1" s="393"/>
      <c r="H1" s="292" t="str">
        <f>Input!H1</f>
        <v>Site Name:</v>
      </c>
      <c r="I1" s="1324" t="s">
        <v>608</v>
      </c>
      <c r="J1" s="1325"/>
      <c r="K1" s="1325"/>
      <c r="L1" s="1325"/>
      <c r="M1" s="1326"/>
      <c r="N1" s="395"/>
      <c r="O1" s="395"/>
      <c r="P1" s="395"/>
      <c r="Q1" s="395"/>
      <c r="R1" s="395"/>
      <c r="S1" s="393"/>
    </row>
    <row r="2" spans="1:19" ht="16.5" customHeight="1">
      <c r="A2" s="1131"/>
      <c r="B2" s="393"/>
      <c r="C2" s="393"/>
      <c r="D2" s="393"/>
      <c r="E2" s="393"/>
      <c r="F2" s="393"/>
      <c r="G2" s="393"/>
      <c r="H2" s="292" t="str">
        <f>Input!H2</f>
        <v>Site Address:</v>
      </c>
      <c r="I2" s="1324" t="s">
        <v>692</v>
      </c>
      <c r="J2" s="1325"/>
      <c r="K2" s="1325"/>
      <c r="L2" s="1325"/>
      <c r="M2" s="1326"/>
      <c r="N2" s="395"/>
      <c r="O2" s="395"/>
      <c r="P2" s="395"/>
      <c r="Q2" s="395"/>
      <c r="R2" s="395"/>
      <c r="S2" s="393"/>
    </row>
    <row r="3" spans="1:19" ht="15.75" thickBot="1">
      <c r="A3" s="393"/>
      <c r="B3" s="452" t="s">
        <v>505</v>
      </c>
      <c r="C3" s="452"/>
      <c r="D3" s="453"/>
      <c r="E3" s="1148">
        <v>35461</v>
      </c>
      <c r="F3" s="452"/>
      <c r="G3" s="452"/>
      <c r="H3" s="454" t="str">
        <f>Input!H3</f>
        <v>Additional Description:</v>
      </c>
      <c r="I3" s="1327" t="s">
        <v>661</v>
      </c>
      <c r="J3" s="1328"/>
      <c r="K3" s="1328"/>
      <c r="L3" s="1328"/>
      <c r="M3" s="1329"/>
      <c r="N3" s="395"/>
      <c r="O3" s="395"/>
      <c r="P3" s="395"/>
      <c r="Q3" s="395"/>
      <c r="R3" s="395"/>
      <c r="S3" s="393"/>
    </row>
    <row r="4" spans="1:19" ht="13.5" hidden="1" thickTop="1">
      <c r="A4" s="393"/>
      <c r="B4" s="397"/>
      <c r="C4" s="397"/>
      <c r="D4" s="397"/>
      <c r="E4" s="397"/>
      <c r="F4" s="397"/>
      <c r="G4" s="397"/>
      <c r="H4" s="397"/>
      <c r="I4" s="397"/>
      <c r="J4" s="397"/>
      <c r="K4" s="398"/>
      <c r="L4" s="398"/>
      <c r="M4" s="395"/>
      <c r="N4" s="395"/>
      <c r="O4" s="395"/>
      <c r="P4" s="395"/>
      <c r="Q4" s="395"/>
      <c r="R4" s="395"/>
      <c r="S4" s="393"/>
    </row>
    <row r="5" spans="1:19" ht="16.5" thickTop="1">
      <c r="A5" s="393"/>
      <c r="B5" s="399" t="s">
        <v>502</v>
      </c>
      <c r="C5" s="397"/>
      <c r="D5" s="397"/>
      <c r="E5" s="397"/>
      <c r="F5" s="397"/>
      <c r="G5" s="397"/>
      <c r="H5" s="397"/>
      <c r="I5" s="397"/>
      <c r="J5" s="397"/>
      <c r="K5" s="398"/>
      <c r="L5" s="398"/>
      <c r="M5" s="1"/>
      <c r="N5" s="395"/>
      <c r="O5" s="395"/>
      <c r="P5" s="395"/>
      <c r="Q5" s="395"/>
      <c r="R5" s="395"/>
      <c r="S5" s="393"/>
    </row>
    <row r="6" spans="1:19" ht="1.5" customHeight="1">
      <c r="A6" s="393"/>
      <c r="B6" s="393"/>
      <c r="C6" s="393"/>
      <c r="D6" s="393"/>
      <c r="E6" s="393"/>
      <c r="F6" s="393"/>
      <c r="G6" s="393"/>
      <c r="H6" s="393"/>
      <c r="I6" s="393"/>
      <c r="J6" s="393"/>
      <c r="K6" s="395"/>
      <c r="L6" s="395"/>
      <c r="M6" s="395"/>
      <c r="N6" s="395"/>
      <c r="O6" s="395"/>
      <c r="P6" s="395"/>
      <c r="Q6" s="395"/>
      <c r="R6" s="395"/>
      <c r="S6" s="393"/>
    </row>
    <row r="7" spans="1:19" ht="12.75">
      <c r="A7" s="393"/>
      <c r="B7" s="393"/>
      <c r="C7" s="393"/>
      <c r="D7" s="400" t="s">
        <v>671</v>
      </c>
      <c r="E7" s="393"/>
      <c r="F7" s="393"/>
      <c r="G7" s="401" t="s">
        <v>160</v>
      </c>
      <c r="H7" s="393"/>
      <c r="I7" s="393"/>
      <c r="J7" s="393"/>
      <c r="K7" s="395"/>
      <c r="L7" s="395"/>
      <c r="M7" s="395"/>
      <c r="N7" s="395"/>
      <c r="O7" s="395"/>
      <c r="P7" s="395"/>
      <c r="Q7" s="395"/>
      <c r="R7" s="395"/>
      <c r="S7" s="393"/>
    </row>
    <row r="8" spans="1:19" ht="12.75">
      <c r="A8" s="393"/>
      <c r="B8" s="393"/>
      <c r="C8" s="393"/>
      <c r="D8" s="393" t="s">
        <v>339</v>
      </c>
      <c r="E8" s="393"/>
      <c r="F8" s="393"/>
      <c r="G8" s="395">
        <f>0.000001*VLOOKUP($G$7,ChemicalData,7,FALSE)</f>
        <v>0.8765</v>
      </c>
      <c r="H8" s="400" t="s">
        <v>289</v>
      </c>
      <c r="I8" s="393"/>
      <c r="J8" s="393"/>
      <c r="K8" s="395"/>
      <c r="L8" s="395"/>
      <c r="M8" s="395"/>
      <c r="N8" s="395"/>
      <c r="O8" s="395"/>
      <c r="P8" s="395"/>
      <c r="Q8" s="395"/>
      <c r="R8" s="395"/>
      <c r="S8" s="393"/>
    </row>
    <row r="9" spans="1:19" ht="12.75">
      <c r="A9" s="393"/>
      <c r="B9" s="393"/>
      <c r="C9" s="393"/>
      <c r="D9" s="393"/>
      <c r="E9" s="393"/>
      <c r="F9" s="393"/>
      <c r="G9" s="393"/>
      <c r="H9" s="393"/>
      <c r="I9" s="393"/>
      <c r="J9" s="393"/>
      <c r="K9" s="395"/>
      <c r="L9" s="395"/>
      <c r="M9" s="395"/>
      <c r="N9" s="395"/>
      <c r="O9" s="395"/>
      <c r="P9" s="395"/>
      <c r="Q9" s="395"/>
      <c r="R9" s="395"/>
      <c r="S9" s="393"/>
    </row>
    <row r="10" spans="1:19" ht="12.75" hidden="1">
      <c r="A10" s="393"/>
      <c r="B10" s="393"/>
      <c r="C10" s="393"/>
      <c r="D10" s="393" t="s">
        <v>340</v>
      </c>
      <c r="E10" s="393"/>
      <c r="F10" s="393"/>
      <c r="G10" s="402">
        <v>0.003</v>
      </c>
      <c r="H10" s="400"/>
      <c r="I10" s="393"/>
      <c r="J10" s="393"/>
      <c r="K10" s="395"/>
      <c r="L10" s="395"/>
      <c r="M10" s="395"/>
      <c r="N10" s="395"/>
      <c r="O10" s="395"/>
      <c r="P10" s="395"/>
      <c r="Q10" s="395"/>
      <c r="R10" s="395"/>
      <c r="S10" s="393"/>
    </row>
    <row r="11" spans="1:23" ht="18" customHeight="1" thickBot="1">
      <c r="A11" s="393"/>
      <c r="B11" s="403" t="s">
        <v>503</v>
      </c>
      <c r="C11" s="393"/>
      <c r="D11" s="393"/>
      <c r="E11" s="393"/>
      <c r="F11" s="393"/>
      <c r="G11" s="393"/>
      <c r="H11" s="393"/>
      <c r="I11" s="393"/>
      <c r="J11" s="404" t="s">
        <v>392</v>
      </c>
      <c r="K11" s="395"/>
      <c r="L11" s="395"/>
      <c r="M11" s="395"/>
      <c r="N11" s="395"/>
      <c r="O11" s="395"/>
      <c r="P11" s="395"/>
      <c r="Q11" s="395"/>
      <c r="R11" s="395"/>
      <c r="S11" s="393"/>
      <c r="U11" s="672"/>
      <c r="W11" s="405"/>
    </row>
    <row r="12" spans="1:19" ht="40.5" customHeight="1" thickBot="1">
      <c r="A12" s="393"/>
      <c r="B12" s="406"/>
      <c r="C12" s="407"/>
      <c r="D12" s="408" t="s">
        <v>341</v>
      </c>
      <c r="E12" s="409" t="s">
        <v>342</v>
      </c>
      <c r="F12" s="409" t="s">
        <v>22</v>
      </c>
      <c r="G12" s="409" t="s">
        <v>343</v>
      </c>
      <c r="H12" s="410" t="s">
        <v>344</v>
      </c>
      <c r="I12" s="868" t="s">
        <v>609</v>
      </c>
      <c r="J12" s="407"/>
      <c r="K12" s="407"/>
      <c r="L12" s="407"/>
      <c r="M12" s="407"/>
      <c r="N12" s="407"/>
      <c r="O12" s="407"/>
      <c r="P12" s="407"/>
      <c r="Q12" s="407"/>
      <c r="R12" s="867"/>
      <c r="S12" s="393"/>
    </row>
    <row r="13" spans="1:19" ht="13.5" hidden="1" thickBot="1">
      <c r="A13" s="393"/>
      <c r="B13" s="411"/>
      <c r="C13" s="397"/>
      <c r="D13" s="397"/>
      <c r="E13" s="397"/>
      <c r="F13" s="397"/>
      <c r="G13" s="397"/>
      <c r="H13" s="412"/>
      <c r="I13" s="397"/>
      <c r="J13" s="397"/>
      <c r="K13" s="413"/>
      <c r="L13" s="398"/>
      <c r="M13" s="398"/>
      <c r="N13" s="398"/>
      <c r="O13" s="398"/>
      <c r="P13" s="398"/>
      <c r="Q13" s="398"/>
      <c r="R13" s="414"/>
      <c r="S13" s="393"/>
    </row>
    <row r="14" spans="1:28" s="421" customFormat="1" ht="15.75" thickBot="1">
      <c r="A14" s="395"/>
      <c r="B14" s="415"/>
      <c r="C14" s="416"/>
      <c r="D14" s="417"/>
      <c r="E14" s="418" t="s">
        <v>201</v>
      </c>
      <c r="F14" s="418" t="s">
        <v>289</v>
      </c>
      <c r="G14" s="418" t="s">
        <v>307</v>
      </c>
      <c r="H14" s="419" t="s">
        <v>307</v>
      </c>
      <c r="I14" s="417"/>
      <c r="J14" s="419"/>
      <c r="K14" s="417" t="s">
        <v>585</v>
      </c>
      <c r="L14" s="417" t="s">
        <v>586</v>
      </c>
      <c r="M14" s="417" t="s">
        <v>587</v>
      </c>
      <c r="N14" s="417" t="s">
        <v>588</v>
      </c>
      <c r="O14" s="417" t="s">
        <v>589</v>
      </c>
      <c r="P14" s="417" t="s">
        <v>590</v>
      </c>
      <c r="Q14" s="417" t="s">
        <v>591</v>
      </c>
      <c r="R14" s="420" t="s">
        <v>592</v>
      </c>
      <c r="S14" s="395"/>
      <c r="V14" s="690"/>
      <c r="W14" s="691" t="s">
        <v>579</v>
      </c>
      <c r="X14" s="691" t="s">
        <v>581</v>
      </c>
      <c r="Y14" s="691" t="s">
        <v>580</v>
      </c>
      <c r="Z14" s="691" t="s">
        <v>583</v>
      </c>
      <c r="AA14" s="691" t="s">
        <v>584</v>
      </c>
      <c r="AB14" s="692" t="s">
        <v>582</v>
      </c>
    </row>
    <row r="15" spans="1:28" ht="13.5" customHeight="1" thickTop="1">
      <c r="A15" s="393"/>
      <c r="B15" s="1298" t="s">
        <v>662</v>
      </c>
      <c r="C15" s="422"/>
      <c r="D15" s="1313" t="s">
        <v>675</v>
      </c>
      <c r="E15" s="1319">
        <v>2</v>
      </c>
      <c r="F15" s="1319">
        <v>1.65</v>
      </c>
      <c r="G15" s="1323"/>
      <c r="H15" s="1322"/>
      <c r="I15" s="423" t="s">
        <v>345</v>
      </c>
      <c r="J15" s="424" t="s">
        <v>498</v>
      </c>
      <c r="K15" s="455">
        <v>30</v>
      </c>
      <c r="L15" s="456">
        <v>25</v>
      </c>
      <c r="M15" s="456">
        <v>25</v>
      </c>
      <c r="N15" s="456">
        <v>20</v>
      </c>
      <c r="O15" s="456"/>
      <c r="P15" s="456"/>
      <c r="Q15" s="456"/>
      <c r="R15" s="457"/>
      <c r="S15" s="393"/>
      <c r="V15" s="693" t="s">
        <v>497</v>
      </c>
      <c r="W15" s="674">
        <f>E15*SUM(K15:R15)</f>
        <v>200</v>
      </c>
      <c r="X15" s="675">
        <f>28.3169*W15*F15</f>
        <v>9344.577</v>
      </c>
      <c r="Y15" s="675">
        <f>SUM(K15:R15)</f>
        <v>100</v>
      </c>
      <c r="Z15" s="675">
        <f>K15*K16+L15*L16+M15*M16+N15*N16+O15*O16+P15*P16+Q15*Q16+R15*R16</f>
        <v>3450</v>
      </c>
      <c r="AA15" s="675">
        <f aca="true" t="shared" si="0" ref="AA15:AA25">Z15/Y15</f>
        <v>34.5</v>
      </c>
      <c r="AB15" s="676">
        <f aca="true" t="shared" si="1" ref="AB15:AB22">0.000001*AA15*X15</f>
        <v>0.3223879065</v>
      </c>
    </row>
    <row r="16" spans="1:28" ht="13.5" customHeight="1">
      <c r="A16" s="393"/>
      <c r="B16" s="1299"/>
      <c r="C16" s="397"/>
      <c r="D16" s="1314"/>
      <c r="E16" s="1296"/>
      <c r="F16" s="1296"/>
      <c r="G16" s="1309"/>
      <c r="H16" s="1305"/>
      <c r="I16" s="882" t="s">
        <v>264</v>
      </c>
      <c r="J16" s="883" t="s">
        <v>346</v>
      </c>
      <c r="K16" s="884">
        <v>30</v>
      </c>
      <c r="L16" s="885">
        <v>20</v>
      </c>
      <c r="M16" s="885">
        <v>50</v>
      </c>
      <c r="N16" s="885">
        <v>40</v>
      </c>
      <c r="O16" s="885"/>
      <c r="P16" s="885"/>
      <c r="Q16" s="885"/>
      <c r="R16" s="887"/>
      <c r="S16" s="393"/>
      <c r="V16" s="694" t="s">
        <v>499</v>
      </c>
      <c r="W16" s="677">
        <f>E17*SUM(K17:R17)</f>
        <v>120</v>
      </c>
      <c r="X16" s="673">
        <f>28.3169*W16*F17</f>
        <v>5097.042</v>
      </c>
      <c r="Y16" s="673">
        <f>SUM(K17:R17)</f>
        <v>120</v>
      </c>
      <c r="Z16" s="673">
        <f>K17*K18+L17*L18+M17*M18+N17*N18+O17*O18+P17*P18+Q17*Q18+R17*R18</f>
        <v>114000</v>
      </c>
      <c r="AA16" s="673">
        <f t="shared" si="0"/>
        <v>950</v>
      </c>
      <c r="AB16" s="678">
        <f t="shared" si="1"/>
        <v>4.8421899</v>
      </c>
    </row>
    <row r="17" spans="1:28" ht="13.5" customHeight="1">
      <c r="A17" s="393"/>
      <c r="B17" s="1299"/>
      <c r="C17" s="397"/>
      <c r="D17" s="1315" t="s">
        <v>676</v>
      </c>
      <c r="E17" s="1295">
        <v>1</v>
      </c>
      <c r="F17" s="1295">
        <v>1.5</v>
      </c>
      <c r="G17" s="1309"/>
      <c r="H17" s="1305"/>
      <c r="I17" s="888" t="s">
        <v>345</v>
      </c>
      <c r="J17" s="889" t="s">
        <v>498</v>
      </c>
      <c r="K17" s="890">
        <v>35</v>
      </c>
      <c r="L17" s="891">
        <v>30</v>
      </c>
      <c r="M17" s="891">
        <v>30</v>
      </c>
      <c r="N17" s="891">
        <v>25</v>
      </c>
      <c r="O17" s="891"/>
      <c r="P17" s="891"/>
      <c r="Q17" s="891"/>
      <c r="R17" s="893"/>
      <c r="S17" s="393"/>
      <c r="V17" s="694" t="s">
        <v>500</v>
      </c>
      <c r="W17" s="677">
        <f>E19*SUM(K19:R19)</f>
        <v>210</v>
      </c>
      <c r="X17" s="673">
        <f>28.3169*W17*F19</f>
        <v>10703.7882</v>
      </c>
      <c r="Y17" s="673">
        <f>SUM(K19:R19)</f>
        <v>105</v>
      </c>
      <c r="Z17" s="673">
        <f>K19*K20+L19*L20+M19*M20+N19*N20+O19*O20+P19*P20+Q19*Q20+R19*R20</f>
        <v>21050</v>
      </c>
      <c r="AA17" s="673">
        <f t="shared" si="0"/>
        <v>200.47619047619048</v>
      </c>
      <c r="AB17" s="678">
        <f t="shared" si="1"/>
        <v>2.1458546820000004</v>
      </c>
    </row>
    <row r="18" spans="1:28" ht="13.5" customHeight="1">
      <c r="A18" s="393"/>
      <c r="B18" s="1299"/>
      <c r="C18" s="397"/>
      <c r="D18" s="1314"/>
      <c r="E18" s="1296"/>
      <c r="F18" s="1296"/>
      <c r="G18" s="1309"/>
      <c r="H18" s="1305"/>
      <c r="I18" s="882" t="s">
        <v>264</v>
      </c>
      <c r="J18" s="883" t="s">
        <v>346</v>
      </c>
      <c r="K18" s="884">
        <v>800</v>
      </c>
      <c r="L18" s="885">
        <v>900</v>
      </c>
      <c r="M18" s="885">
        <v>1050</v>
      </c>
      <c r="N18" s="885">
        <v>1100</v>
      </c>
      <c r="O18" s="885"/>
      <c r="P18" s="885"/>
      <c r="Q18" s="885"/>
      <c r="R18" s="887"/>
      <c r="S18" s="393"/>
      <c r="V18" s="694" t="s">
        <v>570</v>
      </c>
      <c r="W18" s="677">
        <f>E21*SUM(K21:R21)</f>
        <v>0</v>
      </c>
      <c r="X18" s="673">
        <f>28.3169*W18*F21</f>
        <v>0</v>
      </c>
      <c r="Y18" s="673">
        <f>SUM(K21:R21)</f>
        <v>0</v>
      </c>
      <c r="Z18" s="673">
        <f>K21*K22+L21*L22+M21*M22+N21*N22+O21*O22+P21*P22+Q21*Q22+R21*R22</f>
        <v>0</v>
      </c>
      <c r="AA18" s="673" t="e">
        <f t="shared" si="0"/>
        <v>#DIV/0!</v>
      </c>
      <c r="AB18" s="678" t="e">
        <f t="shared" si="1"/>
        <v>#DIV/0!</v>
      </c>
    </row>
    <row r="19" spans="1:28" ht="13.5" customHeight="1" thickBot="1">
      <c r="A19" s="393"/>
      <c r="B19" s="1299"/>
      <c r="C19" s="397"/>
      <c r="D19" s="1315" t="s">
        <v>677</v>
      </c>
      <c r="E19" s="1295">
        <v>2</v>
      </c>
      <c r="F19" s="1295">
        <v>1.8</v>
      </c>
      <c r="G19" s="1309"/>
      <c r="H19" s="1305"/>
      <c r="I19" s="888" t="s">
        <v>345</v>
      </c>
      <c r="J19" s="889" t="s">
        <v>498</v>
      </c>
      <c r="K19" s="890">
        <v>25</v>
      </c>
      <c r="L19" s="891">
        <v>20</v>
      </c>
      <c r="M19" s="891">
        <v>35</v>
      </c>
      <c r="N19" s="891">
        <v>25</v>
      </c>
      <c r="O19" s="891"/>
      <c r="P19" s="891"/>
      <c r="Q19" s="891"/>
      <c r="R19" s="893"/>
      <c r="S19" s="393"/>
      <c r="V19" s="694" t="s">
        <v>577</v>
      </c>
      <c r="W19" s="677">
        <f>E23*SUM(K23:R23)</f>
        <v>0</v>
      </c>
      <c r="X19" s="673">
        <f>28.3169*W19*F23</f>
        <v>0</v>
      </c>
      <c r="Y19" s="673">
        <f>SUM(K23:R23)</f>
        <v>0</v>
      </c>
      <c r="Z19" s="673">
        <f>K23*K24+L23*L24+M23*M24+N23*N24+O23*O24+P23*P24+Q23*Q24+R23*R24</f>
        <v>0</v>
      </c>
      <c r="AA19" s="673" t="e">
        <f t="shared" si="0"/>
        <v>#DIV/0!</v>
      </c>
      <c r="AB19" s="678" t="e">
        <f t="shared" si="1"/>
        <v>#DIV/0!</v>
      </c>
    </row>
    <row r="20" spans="1:28" ht="13.5" customHeight="1">
      <c r="A20" s="393"/>
      <c r="B20" s="1299"/>
      <c r="C20" s="397"/>
      <c r="D20" s="1314"/>
      <c r="E20" s="1296"/>
      <c r="F20" s="1296"/>
      <c r="G20" s="1309"/>
      <c r="H20" s="1305"/>
      <c r="I20" s="882" t="s">
        <v>264</v>
      </c>
      <c r="J20" s="883" t="s">
        <v>346</v>
      </c>
      <c r="K20" s="884">
        <v>150</v>
      </c>
      <c r="L20" s="885">
        <v>150</v>
      </c>
      <c r="M20" s="885">
        <v>230</v>
      </c>
      <c r="N20" s="885">
        <v>250</v>
      </c>
      <c r="O20" s="885"/>
      <c r="P20" s="885"/>
      <c r="Q20" s="885"/>
      <c r="R20" s="887"/>
      <c r="S20" s="393"/>
      <c r="V20" s="695" t="s">
        <v>575</v>
      </c>
      <c r="W20" s="674">
        <f>E25*SUM(K25:R25)</f>
        <v>0</v>
      </c>
      <c r="X20" s="675">
        <f>28.3169*W20*F25</f>
        <v>0</v>
      </c>
      <c r="Y20" s="675">
        <f>SUM(K25:R25)</f>
        <v>0</v>
      </c>
      <c r="Z20" s="675">
        <f>K25*K26+L25*L26+M25*M26+N25*N26+O25*O26+P25*P26+Q25*Q26+R25*R26</f>
        <v>0</v>
      </c>
      <c r="AA20" s="675" t="e">
        <f t="shared" si="0"/>
        <v>#DIV/0!</v>
      </c>
      <c r="AB20" s="676" t="e">
        <f t="shared" si="1"/>
        <v>#DIV/0!</v>
      </c>
    </row>
    <row r="21" spans="1:28" ht="13.5" customHeight="1">
      <c r="A21" s="393"/>
      <c r="B21" s="1299"/>
      <c r="C21" s="397"/>
      <c r="D21" s="1315" t="s">
        <v>678</v>
      </c>
      <c r="E21" s="1295">
        <v>3</v>
      </c>
      <c r="F21" s="1295">
        <v>2.8</v>
      </c>
      <c r="G21" s="1309"/>
      <c r="H21" s="1305"/>
      <c r="I21" s="888" t="s">
        <v>345</v>
      </c>
      <c r="J21" s="889" t="s">
        <v>498</v>
      </c>
      <c r="K21" s="890"/>
      <c r="L21" s="891"/>
      <c r="M21" s="891"/>
      <c r="N21" s="891"/>
      <c r="O21" s="891"/>
      <c r="P21" s="891"/>
      <c r="Q21" s="891"/>
      <c r="R21" s="893"/>
      <c r="S21" s="393"/>
      <c r="V21" s="694" t="s">
        <v>576</v>
      </c>
      <c r="W21" s="677">
        <f>E27*SUM(K27:R27)</f>
        <v>0</v>
      </c>
      <c r="X21" s="673">
        <f>28.3169*W21*F27</f>
        <v>0</v>
      </c>
      <c r="Y21" s="673">
        <f>SUM(K27:R27)</f>
        <v>0</v>
      </c>
      <c r="Z21" s="673">
        <f>K27*K28+L27*L28+M27*M28+N27*N28+O27*O28+P27*P28+Q27*Q28+R27*R28</f>
        <v>0</v>
      </c>
      <c r="AA21" s="673" t="e">
        <f t="shared" si="0"/>
        <v>#DIV/0!</v>
      </c>
      <c r="AB21" s="678" t="e">
        <f t="shared" si="1"/>
        <v>#DIV/0!</v>
      </c>
    </row>
    <row r="22" spans="1:28" ht="13.5" customHeight="1" thickBot="1">
      <c r="A22" s="393"/>
      <c r="B22" s="1299"/>
      <c r="C22" s="397"/>
      <c r="D22" s="1314"/>
      <c r="E22" s="1296"/>
      <c r="F22" s="1296"/>
      <c r="G22" s="1309"/>
      <c r="H22" s="1305"/>
      <c r="I22" s="882" t="s">
        <v>264</v>
      </c>
      <c r="J22" s="883" t="s">
        <v>346</v>
      </c>
      <c r="K22" s="884"/>
      <c r="L22" s="885"/>
      <c r="M22" s="885"/>
      <c r="N22" s="885"/>
      <c r="O22" s="885"/>
      <c r="P22" s="885"/>
      <c r="Q22" s="885"/>
      <c r="R22" s="887"/>
      <c r="S22" s="393"/>
      <c r="V22" s="694" t="s">
        <v>578</v>
      </c>
      <c r="W22" s="677">
        <f>E29*SUM(K29:R29)</f>
        <v>285</v>
      </c>
      <c r="X22" s="673">
        <f>28.3169*W22*F29</f>
        <v>13316.022224999999</v>
      </c>
      <c r="Y22" s="673">
        <f>SUM(K29:R29)</f>
        <v>95</v>
      </c>
      <c r="Z22" s="673">
        <f>K29*K30+L29*L30+M29*M30+N29*N30+O29*O30+P29*P30+Q29*Q30+R29*R30</f>
        <v>127000</v>
      </c>
      <c r="AA22" s="673">
        <f t="shared" si="0"/>
        <v>1336.842105263158</v>
      </c>
      <c r="AB22" s="678">
        <f t="shared" si="1"/>
        <v>17.801419184999997</v>
      </c>
    </row>
    <row r="23" spans="1:28" ht="13.5" customHeight="1">
      <c r="A23" s="393"/>
      <c r="B23" s="1299"/>
      <c r="C23" s="397"/>
      <c r="D23" s="1301" t="s">
        <v>679</v>
      </c>
      <c r="E23" s="1303">
        <v>2</v>
      </c>
      <c r="F23" s="1303">
        <v>1.65</v>
      </c>
      <c r="G23" s="1309"/>
      <c r="H23" s="1305"/>
      <c r="I23" s="877" t="s">
        <v>345</v>
      </c>
      <c r="J23" s="878" t="s">
        <v>498</v>
      </c>
      <c r="K23" s="879"/>
      <c r="L23" s="880"/>
      <c r="M23" s="880"/>
      <c r="N23" s="880"/>
      <c r="O23" s="880"/>
      <c r="P23" s="880"/>
      <c r="Q23" s="880"/>
      <c r="R23" s="881"/>
      <c r="S23" s="393"/>
      <c r="V23" s="695" t="s">
        <v>572</v>
      </c>
      <c r="W23" s="674">
        <f>E31*SUM(K31:R31)</f>
        <v>0</v>
      </c>
      <c r="X23" s="675">
        <f>28.3169*W23*F31</f>
        <v>0</v>
      </c>
      <c r="Y23" s="675">
        <f>SUM(K31:R31)</f>
        <v>0</v>
      </c>
      <c r="Z23" s="675">
        <f>K31*K32+L31*L32+M31*M32+N31*N32+O31*O32+P31*P32+Q31*Q32+R31*R32</f>
        <v>0</v>
      </c>
      <c r="AA23" s="675" t="e">
        <f t="shared" si="0"/>
        <v>#DIV/0!</v>
      </c>
      <c r="AB23" s="676" t="e">
        <f>0.000000001*AA23*X23*G31/F31</f>
        <v>#DIV/0!</v>
      </c>
    </row>
    <row r="24" spans="1:28" ht="13.5" customHeight="1" thickBot="1">
      <c r="A24" s="393"/>
      <c r="B24" s="1300"/>
      <c r="C24" s="425"/>
      <c r="D24" s="1316"/>
      <c r="E24" s="1304"/>
      <c r="F24" s="1304"/>
      <c r="G24" s="1310"/>
      <c r="H24" s="1306"/>
      <c r="I24" s="426" t="s">
        <v>264</v>
      </c>
      <c r="J24" s="427" t="s">
        <v>346</v>
      </c>
      <c r="K24" s="458"/>
      <c r="L24" s="459"/>
      <c r="M24" s="459"/>
      <c r="N24" s="459"/>
      <c r="O24" s="459"/>
      <c r="P24" s="459"/>
      <c r="Q24" s="459"/>
      <c r="R24" s="460"/>
      <c r="S24" s="393"/>
      <c r="V24" s="694" t="s">
        <v>573</v>
      </c>
      <c r="W24" s="677">
        <f>E33*SUM(K33:R33)</f>
        <v>0</v>
      </c>
      <c r="X24" s="673">
        <f>28.3169*W24*F33</f>
        <v>0</v>
      </c>
      <c r="Y24" s="673">
        <f>SUM(K33:R33)</f>
        <v>0</v>
      </c>
      <c r="Z24" s="673">
        <f>K33*K34+L33*L34+M33*M34+N33*N34+O33*O34+P33*P34+Q33*Q34+R33*R34</f>
        <v>0</v>
      </c>
      <c r="AA24" s="673" t="e">
        <f t="shared" si="0"/>
        <v>#DIV/0!</v>
      </c>
      <c r="AB24" s="678" t="e">
        <f>0.000000001*AA24*X24*G33/F33</f>
        <v>#DIV/0!</v>
      </c>
    </row>
    <row r="25" spans="1:28" ht="13.5" customHeight="1" thickBot="1">
      <c r="A25" s="393"/>
      <c r="B25" s="1340" t="s">
        <v>663</v>
      </c>
      <c r="C25" s="397"/>
      <c r="D25" s="1331" t="s">
        <v>680</v>
      </c>
      <c r="E25" s="1297">
        <v>1</v>
      </c>
      <c r="F25" s="1297">
        <v>1.65</v>
      </c>
      <c r="G25" s="1332"/>
      <c r="H25" s="1333"/>
      <c r="I25" s="429" t="s">
        <v>345</v>
      </c>
      <c r="J25" s="430" t="s">
        <v>498</v>
      </c>
      <c r="K25" s="461"/>
      <c r="L25" s="462"/>
      <c r="M25" s="462"/>
      <c r="N25" s="462"/>
      <c r="O25" s="671"/>
      <c r="P25" s="462"/>
      <c r="Q25" s="462"/>
      <c r="R25" s="463"/>
      <c r="S25" s="670"/>
      <c r="V25" s="696" t="s">
        <v>574</v>
      </c>
      <c r="W25" s="679">
        <f>E35*SUM(K35:R35)</f>
        <v>405</v>
      </c>
      <c r="X25" s="680">
        <f>28.3169*W25*F35</f>
        <v>18922.768425000002</v>
      </c>
      <c r="Y25" s="680">
        <f>SUM(K35:R35)</f>
        <v>135</v>
      </c>
      <c r="Z25" s="680">
        <f>K35*K36+L35*L36+M35*M36+N35*N36+O35*O36+P35*P36+Q35*Q36+R35*R36</f>
        <v>1255680</v>
      </c>
      <c r="AA25" s="680">
        <f t="shared" si="0"/>
        <v>9301.333333333334</v>
      </c>
      <c r="AB25" s="681">
        <f>0.000000001*AA25*X25*G35/F35</f>
        <v>0.03733481324160001</v>
      </c>
    </row>
    <row r="26" spans="1:22" ht="13.5" customHeight="1" thickBot="1">
      <c r="A26" s="393"/>
      <c r="B26" s="1299"/>
      <c r="C26" s="397"/>
      <c r="D26" s="1314"/>
      <c r="E26" s="1296"/>
      <c r="F26" s="1296"/>
      <c r="G26" s="1309"/>
      <c r="H26" s="1305"/>
      <c r="I26" s="882" t="s">
        <v>264</v>
      </c>
      <c r="J26" s="883" t="s">
        <v>346</v>
      </c>
      <c r="K26" s="884"/>
      <c r="L26" s="885"/>
      <c r="M26" s="885"/>
      <c r="N26" s="885"/>
      <c r="O26" s="886"/>
      <c r="P26" s="885"/>
      <c r="Q26" s="885"/>
      <c r="R26" s="887"/>
      <c r="S26" s="670"/>
      <c r="V26" s="689" t="s">
        <v>393</v>
      </c>
    </row>
    <row r="27" spans="1:19" ht="13.5" customHeight="1">
      <c r="A27" s="393"/>
      <c r="B27" s="1299"/>
      <c r="C27" s="397"/>
      <c r="D27" s="1338" t="s">
        <v>681</v>
      </c>
      <c r="E27" s="1295">
        <v>2</v>
      </c>
      <c r="F27" s="1295">
        <v>1.65</v>
      </c>
      <c r="G27" s="1309"/>
      <c r="H27" s="1305"/>
      <c r="I27" s="888" t="s">
        <v>345</v>
      </c>
      <c r="J27" s="889" t="s">
        <v>498</v>
      </c>
      <c r="K27" s="890"/>
      <c r="L27" s="891"/>
      <c r="M27" s="891"/>
      <c r="N27" s="891"/>
      <c r="O27" s="892"/>
      <c r="P27" s="891"/>
      <c r="Q27" s="891"/>
      <c r="R27" s="893"/>
      <c r="S27" s="670"/>
    </row>
    <row r="28" spans="1:19" ht="13.5" customHeight="1" thickBot="1">
      <c r="A28" s="393"/>
      <c r="B28" s="1299"/>
      <c r="C28" s="397"/>
      <c r="D28" s="1339"/>
      <c r="E28" s="1296"/>
      <c r="F28" s="1296"/>
      <c r="G28" s="1309"/>
      <c r="H28" s="1305"/>
      <c r="I28" s="882" t="s">
        <v>264</v>
      </c>
      <c r="J28" s="883" t="s">
        <v>346</v>
      </c>
      <c r="K28" s="884"/>
      <c r="L28" s="885"/>
      <c r="M28" s="885"/>
      <c r="N28" s="885"/>
      <c r="O28" s="886"/>
      <c r="P28" s="885"/>
      <c r="Q28" s="885"/>
      <c r="R28" s="887"/>
      <c r="S28" s="670"/>
    </row>
    <row r="29" spans="1:19" ht="13.5" customHeight="1">
      <c r="A29" s="393"/>
      <c r="B29" s="1299"/>
      <c r="C29" s="428"/>
      <c r="D29" s="1317" t="s">
        <v>682</v>
      </c>
      <c r="E29" s="1303">
        <v>3</v>
      </c>
      <c r="F29" s="1303">
        <v>1.65</v>
      </c>
      <c r="G29" s="1309"/>
      <c r="H29" s="1305"/>
      <c r="I29" s="877" t="s">
        <v>345</v>
      </c>
      <c r="J29" s="878" t="s">
        <v>498</v>
      </c>
      <c r="K29" s="879">
        <v>20</v>
      </c>
      <c r="L29" s="880">
        <v>25</v>
      </c>
      <c r="M29" s="880">
        <v>30</v>
      </c>
      <c r="N29" s="880">
        <v>20</v>
      </c>
      <c r="O29" s="880"/>
      <c r="P29" s="880"/>
      <c r="Q29" s="880"/>
      <c r="R29" s="881"/>
      <c r="S29" s="393"/>
    </row>
    <row r="30" spans="1:19" ht="13.5" customHeight="1" thickBot="1">
      <c r="A30" s="393"/>
      <c r="B30" s="1300"/>
      <c r="C30" s="431"/>
      <c r="D30" s="1318"/>
      <c r="E30" s="1304"/>
      <c r="F30" s="1304"/>
      <c r="G30" s="1310"/>
      <c r="H30" s="1306"/>
      <c r="I30" s="426" t="s">
        <v>264</v>
      </c>
      <c r="J30" s="427" t="s">
        <v>346</v>
      </c>
      <c r="K30" s="458">
        <v>800</v>
      </c>
      <c r="L30" s="459">
        <v>800</v>
      </c>
      <c r="M30" s="459">
        <v>2500</v>
      </c>
      <c r="N30" s="459">
        <v>800</v>
      </c>
      <c r="O30" s="459"/>
      <c r="P30" s="459"/>
      <c r="Q30" s="459"/>
      <c r="R30" s="460"/>
      <c r="S30" s="393"/>
    </row>
    <row r="31" spans="1:19" ht="13.5" customHeight="1">
      <c r="A31" s="393"/>
      <c r="B31" s="1340" t="s">
        <v>664</v>
      </c>
      <c r="C31" s="432"/>
      <c r="D31" s="1331" t="s">
        <v>683</v>
      </c>
      <c r="E31" s="1297">
        <v>1</v>
      </c>
      <c r="F31" s="1297">
        <v>1.65</v>
      </c>
      <c r="G31" s="1297">
        <v>0.35</v>
      </c>
      <c r="H31" s="1307">
        <v>0.35</v>
      </c>
      <c r="I31" s="429" t="s">
        <v>345</v>
      </c>
      <c r="J31" s="430" t="s">
        <v>498</v>
      </c>
      <c r="K31" s="461"/>
      <c r="L31" s="462"/>
      <c r="M31" s="462"/>
      <c r="N31" s="462"/>
      <c r="O31" s="462"/>
      <c r="P31" s="462"/>
      <c r="Q31" s="462"/>
      <c r="R31" s="463"/>
      <c r="S31" s="393"/>
    </row>
    <row r="32" spans="1:19" ht="13.5" customHeight="1">
      <c r="A32" s="393"/>
      <c r="B32" s="1299"/>
      <c r="C32" s="432"/>
      <c r="D32" s="1314"/>
      <c r="E32" s="1296"/>
      <c r="F32" s="1296"/>
      <c r="G32" s="1296"/>
      <c r="H32" s="1308"/>
      <c r="I32" s="882" t="s">
        <v>264</v>
      </c>
      <c r="J32" s="883" t="s">
        <v>547</v>
      </c>
      <c r="K32" s="884"/>
      <c r="L32" s="885"/>
      <c r="M32" s="885"/>
      <c r="N32" s="885"/>
      <c r="O32" s="885"/>
      <c r="P32" s="885"/>
      <c r="Q32" s="885"/>
      <c r="R32" s="887"/>
      <c r="S32" s="393"/>
    </row>
    <row r="33" spans="1:19" ht="13.5" customHeight="1">
      <c r="A33" s="393"/>
      <c r="B33" s="1299"/>
      <c r="C33" s="432"/>
      <c r="D33" s="1315" t="s">
        <v>684</v>
      </c>
      <c r="E33" s="1295">
        <v>2</v>
      </c>
      <c r="F33" s="1295">
        <v>1.65</v>
      </c>
      <c r="G33" s="1295">
        <v>0.35</v>
      </c>
      <c r="H33" s="1330">
        <v>0.35</v>
      </c>
      <c r="I33" s="888" t="s">
        <v>345</v>
      </c>
      <c r="J33" s="889" t="s">
        <v>571</v>
      </c>
      <c r="K33" s="890"/>
      <c r="L33" s="891"/>
      <c r="M33" s="891"/>
      <c r="N33" s="891"/>
      <c r="O33" s="891"/>
      <c r="P33" s="891"/>
      <c r="Q33" s="891"/>
      <c r="R33" s="893"/>
      <c r="S33" s="393"/>
    </row>
    <row r="34" spans="1:19" ht="13.5" customHeight="1">
      <c r="A34" s="393"/>
      <c r="B34" s="1299"/>
      <c r="C34" s="432"/>
      <c r="D34" s="1314"/>
      <c r="E34" s="1296"/>
      <c r="F34" s="1296"/>
      <c r="G34" s="1296"/>
      <c r="H34" s="1308"/>
      <c r="I34" s="882" t="s">
        <v>264</v>
      </c>
      <c r="J34" s="883" t="s">
        <v>547</v>
      </c>
      <c r="K34" s="884"/>
      <c r="L34" s="885"/>
      <c r="M34" s="885"/>
      <c r="N34" s="885"/>
      <c r="O34" s="885"/>
      <c r="P34" s="885"/>
      <c r="Q34" s="885"/>
      <c r="R34" s="887"/>
      <c r="S34" s="393"/>
    </row>
    <row r="35" spans="1:19" ht="13.5" customHeight="1">
      <c r="A35" s="393"/>
      <c r="B35" s="1299"/>
      <c r="C35" s="432"/>
      <c r="D35" s="1301" t="s">
        <v>685</v>
      </c>
      <c r="E35" s="1303">
        <v>3</v>
      </c>
      <c r="F35" s="1303">
        <v>1.65</v>
      </c>
      <c r="G35" s="1303">
        <v>0.35</v>
      </c>
      <c r="H35" s="1320">
        <v>0.35</v>
      </c>
      <c r="I35" s="877" t="s">
        <v>345</v>
      </c>
      <c r="J35" s="878" t="s">
        <v>498</v>
      </c>
      <c r="K35" s="879">
        <v>40</v>
      </c>
      <c r="L35" s="880">
        <v>30</v>
      </c>
      <c r="M35" s="880">
        <v>35</v>
      </c>
      <c r="N35" s="880">
        <v>30</v>
      </c>
      <c r="O35" s="880"/>
      <c r="P35" s="880"/>
      <c r="Q35" s="880"/>
      <c r="R35" s="881"/>
      <c r="S35" s="393"/>
    </row>
    <row r="36" spans="1:19" ht="13.5" customHeight="1" thickBot="1">
      <c r="A36" s="393"/>
      <c r="B36" s="1300"/>
      <c r="C36" s="425"/>
      <c r="D36" s="1302"/>
      <c r="E36" s="1304"/>
      <c r="F36" s="1304"/>
      <c r="G36" s="1304"/>
      <c r="H36" s="1321"/>
      <c r="I36" s="426" t="s">
        <v>264</v>
      </c>
      <c r="J36" s="427" t="s">
        <v>547</v>
      </c>
      <c r="K36" s="458">
        <v>7800</v>
      </c>
      <c r="L36" s="459">
        <v>8900</v>
      </c>
      <c r="M36" s="459">
        <v>9000</v>
      </c>
      <c r="N36" s="459">
        <v>12056</v>
      </c>
      <c r="O36" s="459"/>
      <c r="P36" s="459"/>
      <c r="Q36" s="459"/>
      <c r="R36" s="460"/>
      <c r="S36" s="393"/>
    </row>
    <row r="37" spans="1:19" ht="5.25" customHeight="1">
      <c r="A37" s="393"/>
      <c r="B37" s="397"/>
      <c r="C37" s="397"/>
      <c r="D37" s="397"/>
      <c r="E37" s="397"/>
      <c r="F37" s="397"/>
      <c r="G37" s="397"/>
      <c r="H37" s="397"/>
      <c r="I37" s="397"/>
      <c r="J37" s="397"/>
      <c r="K37" s="398"/>
      <c r="L37" s="398"/>
      <c r="M37" s="398"/>
      <c r="N37" s="398"/>
      <c r="O37" s="398"/>
      <c r="P37" s="398"/>
      <c r="Q37" s="398"/>
      <c r="R37" s="398"/>
      <c r="S37" s="393"/>
    </row>
    <row r="38" spans="1:19" ht="12.75" hidden="1">
      <c r="A38" s="393"/>
      <c r="B38" s="393"/>
      <c r="C38" s="393"/>
      <c r="D38" s="393"/>
      <c r="E38" s="393"/>
      <c r="F38" s="393"/>
      <c r="G38" s="393"/>
      <c r="H38" s="393"/>
      <c r="I38" s="393"/>
      <c r="J38" s="393"/>
      <c r="K38" s="395"/>
      <c r="L38" s="395"/>
      <c r="M38" s="395"/>
      <c r="N38" s="395"/>
      <c r="O38" s="395"/>
      <c r="P38" s="395"/>
      <c r="Q38" s="395"/>
      <c r="R38" s="395"/>
      <c r="S38" s="393"/>
    </row>
    <row r="39" spans="1:19" ht="3" customHeight="1">
      <c r="A39" s="393"/>
      <c r="B39" s="393"/>
      <c r="C39" s="393"/>
      <c r="D39" s="393"/>
      <c r="E39" s="393"/>
      <c r="F39" s="393"/>
      <c r="G39" s="393"/>
      <c r="H39" s="393"/>
      <c r="I39" s="393"/>
      <c r="J39" s="393"/>
      <c r="K39" s="395"/>
      <c r="L39" s="395"/>
      <c r="M39" s="395"/>
      <c r="N39" s="395"/>
      <c r="O39" s="395"/>
      <c r="P39" s="395"/>
      <c r="Q39" s="395"/>
      <c r="R39" s="395"/>
      <c r="S39" s="393"/>
    </row>
    <row r="40" spans="1:19" ht="15" customHeight="1">
      <c r="A40" s="393"/>
      <c r="B40" s="433" t="s">
        <v>504</v>
      </c>
      <c r="C40" s="395"/>
      <c r="D40" s="395"/>
      <c r="E40" s="395"/>
      <c r="F40" s="395"/>
      <c r="G40" s="395"/>
      <c r="H40" s="395"/>
      <c r="I40" s="395"/>
      <c r="J40" s="395"/>
      <c r="K40" s="395"/>
      <c r="L40" s="395"/>
      <c r="M40" s="395"/>
      <c r="N40" s="395"/>
      <c r="O40" s="395"/>
      <c r="P40" s="395"/>
      <c r="Q40" s="395"/>
      <c r="R40" s="395"/>
      <c r="S40" s="393"/>
    </row>
    <row r="41" spans="1:19" ht="3" customHeight="1" thickBot="1">
      <c r="A41" s="393"/>
      <c r="B41" s="400"/>
      <c r="C41" s="395"/>
      <c r="D41" s="395"/>
      <c r="E41" s="395"/>
      <c r="F41" s="395"/>
      <c r="G41" s="395"/>
      <c r="H41" s="395"/>
      <c r="I41" s="395"/>
      <c r="J41" s="395"/>
      <c r="K41" s="395"/>
      <c r="L41" s="395"/>
      <c r="M41" s="395"/>
      <c r="N41" s="395"/>
      <c r="O41" s="395"/>
      <c r="P41" s="395"/>
      <c r="Q41" s="395"/>
      <c r="R41" s="395"/>
      <c r="S41" s="393"/>
    </row>
    <row r="42" spans="1:19" ht="12.75">
      <c r="A42" s="393"/>
      <c r="B42" s="1342" t="s">
        <v>347</v>
      </c>
      <c r="C42" s="434"/>
      <c r="D42" s="1345" t="s">
        <v>341</v>
      </c>
      <c r="E42" s="435"/>
      <c r="F42" s="436"/>
      <c r="G42" s="1311" t="s">
        <v>348</v>
      </c>
      <c r="H42" s="1311"/>
      <c r="I42" s="1311"/>
      <c r="J42" s="1312"/>
      <c r="K42" s="395"/>
      <c r="L42" s="395"/>
      <c r="M42" s="395"/>
      <c r="N42" s="395"/>
      <c r="O42" s="395"/>
      <c r="P42" s="395"/>
      <c r="Q42" s="395"/>
      <c r="R42" s="395"/>
      <c r="S42" s="393"/>
    </row>
    <row r="43" spans="1:19" ht="44.25" customHeight="1">
      <c r="A43" s="393"/>
      <c r="B43" s="1343"/>
      <c r="C43" s="398"/>
      <c r="D43" s="1346"/>
      <c r="E43" s="449" t="s">
        <v>349</v>
      </c>
      <c r="F43" s="449" t="s">
        <v>350</v>
      </c>
      <c r="G43" s="450" t="s">
        <v>351</v>
      </c>
      <c r="H43" s="450" t="s">
        <v>352</v>
      </c>
      <c r="I43" s="450" t="s">
        <v>353</v>
      </c>
      <c r="J43" s="451" t="s">
        <v>693</v>
      </c>
      <c r="K43" s="395"/>
      <c r="L43" s="395"/>
      <c r="M43" s="395"/>
      <c r="N43" s="395"/>
      <c r="O43" s="395"/>
      <c r="P43" s="395"/>
      <c r="Q43" s="395"/>
      <c r="R43" s="395"/>
      <c r="S43" s="393"/>
    </row>
    <row r="44" spans="1:19" ht="15.75" thickBot="1">
      <c r="A44" s="393"/>
      <c r="B44" s="1344"/>
      <c r="C44" s="416"/>
      <c r="D44" s="1347"/>
      <c r="E44" s="437" t="s">
        <v>501</v>
      </c>
      <c r="F44" s="437" t="s">
        <v>76</v>
      </c>
      <c r="G44" s="437" t="s">
        <v>568</v>
      </c>
      <c r="H44" s="437" t="s">
        <v>76</v>
      </c>
      <c r="I44" s="437" t="s">
        <v>354</v>
      </c>
      <c r="J44" s="438" t="s">
        <v>40</v>
      </c>
      <c r="K44" s="395"/>
      <c r="L44" s="395"/>
      <c r="M44" s="395"/>
      <c r="N44" s="395"/>
      <c r="O44" s="395"/>
      <c r="P44" s="395"/>
      <c r="Q44" s="395"/>
      <c r="R44" s="395"/>
      <c r="S44" s="393"/>
    </row>
    <row r="45" spans="1:19" ht="19.5" customHeight="1" thickTop="1">
      <c r="A45" s="393"/>
      <c r="B45" s="1341" t="str">
        <f>B15</f>
        <v>Contaminated Soil in Unsaturated zone</v>
      </c>
      <c r="C45" s="439"/>
      <c r="D45" s="440" t="s">
        <v>675</v>
      </c>
      <c r="E45" s="464">
        <f>W15</f>
        <v>200</v>
      </c>
      <c r="F45" s="465">
        <f>X15</f>
        <v>9344.577</v>
      </c>
      <c r="G45" s="465">
        <f>IF(Z15=0,"",AA15)</f>
        <v>34.5</v>
      </c>
      <c r="H45" s="703">
        <f>IF(Z15=0,"",AB15)</f>
        <v>0.3223879065</v>
      </c>
      <c r="I45" s="703">
        <f aca="true" t="shared" si="2" ref="I45:I55">IF(Z15=0,"",(H45/$G$8)/3.7854)</f>
        <v>0.09716616091048591</v>
      </c>
      <c r="J45" s="466">
        <f>IF(Z15=0,"",H45/$H$56)</f>
        <v>0.012819019281993861</v>
      </c>
      <c r="K45" s="395"/>
      <c r="L45" s="395"/>
      <c r="M45" s="395"/>
      <c r="N45" s="395"/>
      <c r="O45" s="395"/>
      <c r="P45" s="395"/>
      <c r="Q45" s="395"/>
      <c r="R45" s="395"/>
      <c r="S45" s="393"/>
    </row>
    <row r="46" spans="1:19" ht="19.5" customHeight="1">
      <c r="A46" s="393"/>
      <c r="B46" s="1335"/>
      <c r="C46" s="441"/>
      <c r="D46" s="442" t="s">
        <v>676</v>
      </c>
      <c r="E46" s="467">
        <f aca="true" t="shared" si="3" ref="E46:E55">W16</f>
        <v>120</v>
      </c>
      <c r="F46" s="468">
        <f aca="true" t="shared" si="4" ref="F46:F55">X16</f>
        <v>5097.042</v>
      </c>
      <c r="G46" s="468">
        <f aca="true" t="shared" si="5" ref="G46:G55">IF(Z16=0,"",AA16)</f>
        <v>950</v>
      </c>
      <c r="H46" s="704">
        <f aca="true" t="shared" si="6" ref="H46:H55">IF(Z16=0,"",AB16)</f>
        <v>4.8421899</v>
      </c>
      <c r="I46" s="704">
        <f t="shared" si="2"/>
        <v>1.4594126935171798</v>
      </c>
      <c r="J46" s="469">
        <f aca="true" t="shared" si="7" ref="J46:J55">IF(Z16=0,"",H46/$H$56)</f>
        <v>0.1925386295319236</v>
      </c>
      <c r="K46" s="395"/>
      <c r="L46" s="395"/>
      <c r="M46" s="395"/>
      <c r="N46" s="395"/>
      <c r="O46" s="395"/>
      <c r="P46" s="395"/>
      <c r="Q46" s="395"/>
      <c r="R46" s="395"/>
      <c r="S46" s="393"/>
    </row>
    <row r="47" spans="1:19" ht="19.5" customHeight="1">
      <c r="A47" s="393"/>
      <c r="B47" s="1335"/>
      <c r="C47" s="441"/>
      <c r="D47" s="442" t="s">
        <v>677</v>
      </c>
      <c r="E47" s="467">
        <f t="shared" si="3"/>
        <v>210</v>
      </c>
      <c r="F47" s="468">
        <f t="shared" si="4"/>
        <v>10703.7882</v>
      </c>
      <c r="G47" s="468">
        <f t="shared" si="5"/>
        <v>200.47619047619048</v>
      </c>
      <c r="H47" s="704">
        <f t="shared" si="6"/>
        <v>2.1458546820000004</v>
      </c>
      <c r="I47" s="704">
        <f t="shared" si="2"/>
        <v>0.6467502568112976</v>
      </c>
      <c r="J47" s="469">
        <f t="shared" si="7"/>
        <v>0.08532501371888405</v>
      </c>
      <c r="K47" s="395"/>
      <c r="L47" s="395"/>
      <c r="M47" s="395"/>
      <c r="N47" s="395"/>
      <c r="O47" s="395"/>
      <c r="P47" s="395"/>
      <c r="Q47" s="395"/>
      <c r="R47" s="395"/>
      <c r="S47" s="393"/>
    </row>
    <row r="48" spans="1:19" ht="19.5" customHeight="1">
      <c r="A48" s="393"/>
      <c r="B48" s="1335"/>
      <c r="C48" s="665"/>
      <c r="D48" s="442" t="s">
        <v>678</v>
      </c>
      <c r="E48" s="467">
        <f t="shared" si="3"/>
        <v>0</v>
      </c>
      <c r="F48" s="468">
        <f t="shared" si="4"/>
        <v>0</v>
      </c>
      <c r="G48" s="468">
        <f t="shared" si="5"/>
      </c>
      <c r="H48" s="704">
        <f t="shared" si="6"/>
      </c>
      <c r="I48" s="704">
        <f t="shared" si="2"/>
      </c>
      <c r="J48" s="469">
        <f t="shared" si="7"/>
      </c>
      <c r="K48" s="395"/>
      <c r="L48" s="395"/>
      <c r="M48" s="395"/>
      <c r="N48" s="395"/>
      <c r="O48" s="395"/>
      <c r="P48" s="395"/>
      <c r="Q48" s="395"/>
      <c r="R48" s="395"/>
      <c r="S48" s="393"/>
    </row>
    <row r="49" spans="1:19" ht="19.5" customHeight="1">
      <c r="A49" s="393"/>
      <c r="B49" s="1335"/>
      <c r="C49" s="665"/>
      <c r="D49" s="666" t="s">
        <v>679</v>
      </c>
      <c r="E49" s="667">
        <f t="shared" si="3"/>
        <v>0</v>
      </c>
      <c r="F49" s="668">
        <f t="shared" si="4"/>
        <v>0</v>
      </c>
      <c r="G49" s="668">
        <f t="shared" si="5"/>
      </c>
      <c r="H49" s="705">
        <f t="shared" si="6"/>
      </c>
      <c r="I49" s="705">
        <f t="shared" si="2"/>
      </c>
      <c r="J49" s="669">
        <f t="shared" si="7"/>
      </c>
      <c r="K49" s="395"/>
      <c r="L49" s="395"/>
      <c r="M49" s="395"/>
      <c r="N49" s="395"/>
      <c r="O49" s="395"/>
      <c r="P49" s="395"/>
      <c r="Q49" s="395"/>
      <c r="R49" s="395"/>
      <c r="S49" s="393"/>
    </row>
    <row r="50" spans="1:19" ht="19.5" customHeight="1">
      <c r="A50" s="393"/>
      <c r="B50" s="1334" t="str">
        <f>B25</f>
        <v>Smear Zone Source below Water Table</v>
      </c>
      <c r="C50" s="702"/>
      <c r="D50" s="682" t="s">
        <v>680</v>
      </c>
      <c r="E50" s="683">
        <f t="shared" si="3"/>
        <v>0</v>
      </c>
      <c r="F50" s="684">
        <f t="shared" si="4"/>
        <v>0</v>
      </c>
      <c r="G50" s="684">
        <f t="shared" si="5"/>
      </c>
      <c r="H50" s="706">
        <f t="shared" si="6"/>
      </c>
      <c r="I50" s="706">
        <f t="shared" si="2"/>
      </c>
      <c r="J50" s="685">
        <f t="shared" si="7"/>
      </c>
      <c r="K50" s="395"/>
      <c r="L50" s="395"/>
      <c r="M50" s="395"/>
      <c r="N50" s="395"/>
      <c r="O50" s="395"/>
      <c r="P50" s="395"/>
      <c r="Q50" s="395"/>
      <c r="R50" s="395"/>
      <c r="S50" s="393"/>
    </row>
    <row r="51" spans="1:19" ht="19.5" customHeight="1">
      <c r="A51" s="393"/>
      <c r="B51" s="1335"/>
      <c r="C51" s="664"/>
      <c r="D51" s="442" t="s">
        <v>681</v>
      </c>
      <c r="E51" s="467">
        <f t="shared" si="3"/>
        <v>0</v>
      </c>
      <c r="F51" s="468">
        <f t="shared" si="4"/>
        <v>0</v>
      </c>
      <c r="G51" s="468">
        <f t="shared" si="5"/>
      </c>
      <c r="H51" s="704">
        <f t="shared" si="6"/>
      </c>
      <c r="I51" s="704">
        <f t="shared" si="2"/>
      </c>
      <c r="J51" s="469">
        <f t="shared" si="7"/>
      </c>
      <c r="K51" s="395"/>
      <c r="L51" s="395"/>
      <c r="M51" s="395"/>
      <c r="N51" s="395"/>
      <c r="O51" s="395"/>
      <c r="P51" s="395"/>
      <c r="Q51" s="395"/>
      <c r="R51" s="395"/>
      <c r="S51" s="393"/>
    </row>
    <row r="52" spans="1:19" ht="19.5" customHeight="1">
      <c r="A52" s="393"/>
      <c r="B52" s="1336"/>
      <c r="C52" s="444"/>
      <c r="D52" s="443" t="s">
        <v>682</v>
      </c>
      <c r="E52" s="470">
        <f t="shared" si="3"/>
        <v>285</v>
      </c>
      <c r="F52" s="471">
        <f t="shared" si="4"/>
        <v>13316.022224999999</v>
      </c>
      <c r="G52" s="471">
        <f t="shared" si="5"/>
        <v>1336.842105263158</v>
      </c>
      <c r="H52" s="707">
        <f t="shared" si="6"/>
        <v>17.801419184999997</v>
      </c>
      <c r="I52" s="707">
        <f t="shared" si="2"/>
        <v>5.365261928535525</v>
      </c>
      <c r="J52" s="472">
        <f t="shared" si="7"/>
        <v>0.7078328038318348</v>
      </c>
      <c r="K52" s="395"/>
      <c r="L52" s="395"/>
      <c r="M52" s="395"/>
      <c r="N52" s="395"/>
      <c r="O52" s="395"/>
      <c r="P52" s="395"/>
      <c r="Q52" s="395"/>
      <c r="R52" s="395"/>
      <c r="S52" s="393"/>
    </row>
    <row r="53" spans="1:19" ht="19.5" customHeight="1">
      <c r="A53" s="393"/>
      <c r="B53" s="1335" t="str">
        <f>B31</f>
        <v>Dissolved Phase in Saturated Zone</v>
      </c>
      <c r="C53" s="445"/>
      <c r="D53" s="698" t="s">
        <v>683</v>
      </c>
      <c r="E53" s="699">
        <f t="shared" si="3"/>
        <v>0</v>
      </c>
      <c r="F53" s="700">
        <f t="shared" si="4"/>
        <v>0</v>
      </c>
      <c r="G53" s="700">
        <f t="shared" si="5"/>
      </c>
      <c r="H53" s="708">
        <f t="shared" si="6"/>
      </c>
      <c r="I53" s="708">
        <f t="shared" si="2"/>
      </c>
      <c r="J53" s="701">
        <f t="shared" si="7"/>
      </c>
      <c r="K53" s="395"/>
      <c r="L53" s="395"/>
      <c r="M53" s="395"/>
      <c r="N53" s="395"/>
      <c r="O53" s="395"/>
      <c r="P53" s="395"/>
      <c r="Q53" s="395"/>
      <c r="R53" s="395"/>
      <c r="S53" s="393"/>
    </row>
    <row r="54" spans="1:19" ht="19.5" customHeight="1">
      <c r="A54" s="393"/>
      <c r="B54" s="1335"/>
      <c r="C54" s="445"/>
      <c r="D54" s="442" t="s">
        <v>684</v>
      </c>
      <c r="E54" s="467">
        <f t="shared" si="3"/>
        <v>0</v>
      </c>
      <c r="F54" s="468">
        <f t="shared" si="4"/>
        <v>0</v>
      </c>
      <c r="G54" s="468">
        <f t="shared" si="5"/>
      </c>
      <c r="H54" s="704">
        <f t="shared" si="6"/>
      </c>
      <c r="I54" s="704">
        <f t="shared" si="2"/>
      </c>
      <c r="J54" s="469">
        <f t="shared" si="7"/>
      </c>
      <c r="K54" s="395"/>
      <c r="L54" s="395"/>
      <c r="M54" s="395"/>
      <c r="N54" s="395"/>
      <c r="O54" s="395"/>
      <c r="P54" s="395"/>
      <c r="Q54" s="395"/>
      <c r="R54" s="395"/>
      <c r="S54" s="393"/>
    </row>
    <row r="55" spans="1:19" ht="19.5" customHeight="1" thickBot="1">
      <c r="A55" s="393"/>
      <c r="B55" s="1337"/>
      <c r="C55" s="445"/>
      <c r="D55" s="686" t="s">
        <v>685</v>
      </c>
      <c r="E55" s="687">
        <f t="shared" si="3"/>
        <v>405</v>
      </c>
      <c r="F55" s="688">
        <f t="shared" si="4"/>
        <v>18922.768425000002</v>
      </c>
      <c r="G55" s="688">
        <f t="shared" si="5"/>
        <v>9301.333333333334</v>
      </c>
      <c r="H55" s="709">
        <f t="shared" si="6"/>
        <v>0.03733481324160001</v>
      </c>
      <c r="I55" s="709">
        <f t="shared" si="2"/>
        <v>0.011252532734183833</v>
      </c>
      <c r="J55" s="697">
        <f t="shared" si="7"/>
        <v>0.0014845336353636154</v>
      </c>
      <c r="K55" s="395"/>
      <c r="L55" s="395"/>
      <c r="M55" s="395"/>
      <c r="N55" s="395"/>
      <c r="O55" s="395"/>
      <c r="P55" s="395"/>
      <c r="Q55" s="395"/>
      <c r="R55" s="395"/>
      <c r="S55" s="393"/>
    </row>
    <row r="56" spans="1:19" ht="19.5" customHeight="1" thickBot="1">
      <c r="A56" s="393"/>
      <c r="B56" s="446" t="s">
        <v>355</v>
      </c>
      <c r="C56" s="447"/>
      <c r="D56" s="448"/>
      <c r="E56" s="473">
        <f>SUM(E45:E55)</f>
        <v>1220</v>
      </c>
      <c r="F56" s="474">
        <f>SUM(F45:F55)</f>
        <v>57384.197850000004</v>
      </c>
      <c r="G56" s="473"/>
      <c r="H56" s="710">
        <f>SUM(H45:H55)</f>
        <v>25.1491864867416</v>
      </c>
      <c r="I56" s="710">
        <f>SUM(I45:I55)</f>
        <v>7.579843572508673</v>
      </c>
      <c r="J56" s="475">
        <f>SUM(J45:J55)</f>
        <v>0.9999999999999999</v>
      </c>
      <c r="K56" s="395"/>
      <c r="L56" s="395"/>
      <c r="M56" s="395"/>
      <c r="N56" s="395"/>
      <c r="O56" s="395"/>
      <c r="P56" s="395"/>
      <c r="Q56" s="395"/>
      <c r="R56" s="395"/>
      <c r="S56" s="393"/>
    </row>
    <row r="57" spans="1:19" ht="12.75" customHeight="1">
      <c r="A57" s="393"/>
      <c r="B57" s="397"/>
      <c r="C57" s="397"/>
      <c r="D57" s="397"/>
      <c r="E57" s="393"/>
      <c r="F57" s="393"/>
      <c r="G57" s="393"/>
      <c r="H57" s="393"/>
      <c r="I57" s="393"/>
      <c r="J57" s="393"/>
      <c r="K57" s="395"/>
      <c r="L57" s="395"/>
      <c r="M57" s="395"/>
      <c r="N57" s="395"/>
      <c r="O57" s="395"/>
      <c r="P57" s="395"/>
      <c r="Q57" s="395"/>
      <c r="R57" s="395"/>
      <c r="S57" s="393"/>
    </row>
    <row r="58" spans="2:4" ht="12" customHeight="1">
      <c r="B58" s="405"/>
      <c r="C58" s="405"/>
      <c r="D58" s="405"/>
    </row>
  </sheetData>
  <sheetProtection/>
  <mergeCells count="67">
    <mergeCell ref="B50:B52"/>
    <mergeCell ref="B53:B55"/>
    <mergeCell ref="D27:D28"/>
    <mergeCell ref="D25:D26"/>
    <mergeCell ref="B25:B30"/>
    <mergeCell ref="B31:B36"/>
    <mergeCell ref="B45:B49"/>
    <mergeCell ref="B42:B44"/>
    <mergeCell ref="D42:D44"/>
    <mergeCell ref="G33:G34"/>
    <mergeCell ref="H33:H34"/>
    <mergeCell ref="D31:D32"/>
    <mergeCell ref="D33:D34"/>
    <mergeCell ref="G25:G26"/>
    <mergeCell ref="H25:H26"/>
    <mergeCell ref="E27:E28"/>
    <mergeCell ref="F27:F28"/>
    <mergeCell ref="G27:G28"/>
    <mergeCell ref="H27:H28"/>
    <mergeCell ref="D21:D22"/>
    <mergeCell ref="E21:E22"/>
    <mergeCell ref="F21:F22"/>
    <mergeCell ref="G21:G22"/>
    <mergeCell ref="I1:M1"/>
    <mergeCell ref="I2:M2"/>
    <mergeCell ref="I3:M3"/>
    <mergeCell ref="E17:E18"/>
    <mergeCell ref="G29:G30"/>
    <mergeCell ref="H29:H30"/>
    <mergeCell ref="H35:H36"/>
    <mergeCell ref="H15:H16"/>
    <mergeCell ref="H17:H18"/>
    <mergeCell ref="H19:H20"/>
    <mergeCell ref="G15:G16"/>
    <mergeCell ref="G17:G18"/>
    <mergeCell ref="G31:G32"/>
    <mergeCell ref="G19:G20"/>
    <mergeCell ref="G42:J42"/>
    <mergeCell ref="D15:D16"/>
    <mergeCell ref="D17:D18"/>
    <mergeCell ref="D19:D20"/>
    <mergeCell ref="D23:D24"/>
    <mergeCell ref="D29:D30"/>
    <mergeCell ref="E15:E16"/>
    <mergeCell ref="F15:F16"/>
    <mergeCell ref="F29:F30"/>
    <mergeCell ref="G35:G36"/>
    <mergeCell ref="H23:H24"/>
    <mergeCell ref="H21:H22"/>
    <mergeCell ref="H31:H32"/>
    <mergeCell ref="F17:F18"/>
    <mergeCell ref="E19:E20"/>
    <mergeCell ref="F19:F20"/>
    <mergeCell ref="E31:E32"/>
    <mergeCell ref="E25:E26"/>
    <mergeCell ref="F31:F32"/>
    <mergeCell ref="G23:G24"/>
    <mergeCell ref="F33:F34"/>
    <mergeCell ref="F25:F26"/>
    <mergeCell ref="B15:B24"/>
    <mergeCell ref="D35:D36"/>
    <mergeCell ref="E23:E24"/>
    <mergeCell ref="F23:F24"/>
    <mergeCell ref="E29:E30"/>
    <mergeCell ref="E35:E36"/>
    <mergeCell ref="E33:E34"/>
    <mergeCell ref="F35:F36"/>
  </mergeCells>
  <dataValidations count="1">
    <dataValidation type="list" allowBlank="1" showInputMessage="1" showErrorMessage="1" sqref="G7">
      <formula1>chemicals</formula1>
    </dataValidation>
  </dataValidations>
  <printOptions horizontalCentered="1" verticalCentered="1"/>
  <pageMargins left="0.75" right="0.75" top="0.72" bottom="0.62" header="0.5" footer="0.36"/>
  <pageSetup blackAndWhite="1" horizontalDpi="600" verticalDpi="600" orientation="landscape" scale="65" r:id="rId4"/>
  <headerFooter alignWithMargins="0">
    <oddHeader>&amp;LWashington State Department of Ecology: TCP program&amp;R&amp;D</oddHeader>
    <oddFooter>&amp;R&amp;A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02"/>
  <sheetViews>
    <sheetView showGridLines="0" showRowColHeaders="0" tabSelected="1" zoomScale="99" zoomScaleNormal="99" zoomScaleSheetLayoutView="77" zoomScalePageLayoutView="0" workbookViewId="0" topLeftCell="A1">
      <selection activeCell="L31" sqref="L31"/>
    </sheetView>
  </sheetViews>
  <sheetFormatPr defaultColWidth="10.625" defaultRowHeight="12.75"/>
  <cols>
    <col min="1" max="1" width="0.37109375" style="255" customWidth="1"/>
    <col min="2" max="2" width="20.375" style="256" customWidth="1"/>
    <col min="3" max="3" width="8.375" style="101" customWidth="1"/>
    <col min="4" max="4" width="2.50390625" style="101" customWidth="1"/>
    <col min="5" max="5" width="10.375" style="101" customWidth="1"/>
    <col min="6" max="6" width="5.75390625" style="256" customWidth="1"/>
    <col min="7" max="7" width="2.50390625" style="256" customWidth="1"/>
    <col min="8" max="8" width="10.625" style="256" customWidth="1"/>
    <col min="9" max="9" width="11.50390625" style="256" customWidth="1"/>
    <col min="10" max="10" width="5.875" style="256" customWidth="1"/>
    <col min="11" max="20" width="5.625" style="256" customWidth="1"/>
    <col min="21" max="21" width="6.875" style="256" customWidth="1"/>
    <col min="22" max="22" width="1.25" style="101" customWidth="1"/>
    <col min="23" max="16384" width="10.625" style="101" customWidth="1"/>
  </cols>
  <sheetData>
    <row r="1" spans="1:22" ht="18" customHeight="1">
      <c r="A1" s="1169"/>
      <c r="B1" s="1170" t="s">
        <v>695</v>
      </c>
      <c r="C1" s="1171"/>
      <c r="D1" s="1171"/>
      <c r="E1" s="1171"/>
      <c r="F1" s="1172"/>
      <c r="G1" s="1172"/>
      <c r="H1" s="292" t="s">
        <v>265</v>
      </c>
      <c r="I1" s="1348" t="s">
        <v>382</v>
      </c>
      <c r="J1" s="1349"/>
      <c r="K1" s="1349"/>
      <c r="L1" s="1349"/>
      <c r="M1" s="1349"/>
      <c r="N1" s="1173" t="s">
        <v>597</v>
      </c>
      <c r="O1" s="1174"/>
      <c r="P1" s="1174"/>
      <c r="Q1" s="1174"/>
      <c r="R1" s="1174"/>
      <c r="S1" s="1174"/>
      <c r="T1" s="1175"/>
      <c r="U1" s="1176"/>
      <c r="V1" s="1177"/>
    </row>
    <row r="2" spans="1:22" ht="10.5" customHeight="1">
      <c r="A2" s="1169"/>
      <c r="B2" s="1178"/>
      <c r="C2" s="1179"/>
      <c r="D2" s="1179"/>
      <c r="E2" s="1179"/>
      <c r="F2" s="1172"/>
      <c r="G2" s="1180"/>
      <c r="H2" s="347" t="s">
        <v>338</v>
      </c>
      <c r="I2" s="1350" t="s">
        <v>404</v>
      </c>
      <c r="J2" s="1351"/>
      <c r="K2" s="1351"/>
      <c r="L2" s="1351"/>
      <c r="M2" s="1351"/>
      <c r="N2" s="1181"/>
      <c r="O2" s="1161">
        <v>115</v>
      </c>
      <c r="P2" s="1182" t="s">
        <v>475</v>
      </c>
      <c r="Q2" s="1183"/>
      <c r="R2" s="1183"/>
      <c r="S2" s="1183"/>
      <c r="T2" s="1184"/>
      <c r="U2" s="1185"/>
      <c r="V2" s="1177"/>
    </row>
    <row r="3" spans="1:22" ht="10.5" customHeight="1" thickBot="1">
      <c r="A3" s="1186"/>
      <c r="B3" s="1187" t="s">
        <v>598</v>
      </c>
      <c r="C3" s="1188"/>
      <c r="D3" s="1188"/>
      <c r="E3" s="1189"/>
      <c r="F3" s="1190"/>
      <c r="G3" s="1190"/>
      <c r="H3" s="293" t="s">
        <v>484</v>
      </c>
      <c r="I3" s="1352" t="s">
        <v>476</v>
      </c>
      <c r="J3" s="1353"/>
      <c r="K3" s="1353"/>
      <c r="L3" s="1353"/>
      <c r="M3" s="1353"/>
      <c r="N3" s="1181"/>
      <c r="O3" s="1191"/>
      <c r="P3" s="1182" t="s">
        <v>694</v>
      </c>
      <c r="Q3" s="1192"/>
      <c r="R3" s="1192"/>
      <c r="S3" s="1183"/>
      <c r="T3" s="1193"/>
      <c r="U3" s="1185"/>
      <c r="V3" s="1177"/>
    </row>
    <row r="4" spans="1:22" ht="15" customHeight="1" thickTop="1">
      <c r="A4" s="1169"/>
      <c r="B4" s="506" t="s">
        <v>0</v>
      </c>
      <c r="C4" s="1194"/>
      <c r="D4" s="1194"/>
      <c r="E4" s="1195"/>
      <c r="F4" s="1169" t="s">
        <v>191</v>
      </c>
      <c r="G4" s="1196"/>
      <c r="H4" s="1169"/>
      <c r="I4" s="1169"/>
      <c r="J4" s="1169"/>
      <c r="K4" s="1169"/>
      <c r="L4" s="1169"/>
      <c r="M4" s="1169"/>
      <c r="N4" s="1181"/>
      <c r="O4" s="1168">
        <v>0.02</v>
      </c>
      <c r="P4" s="1182" t="s">
        <v>477</v>
      </c>
      <c r="Q4" s="1192"/>
      <c r="R4" s="1192"/>
      <c r="S4" s="1192"/>
      <c r="T4" s="1197"/>
      <c r="U4" s="1185"/>
      <c r="V4" s="1177"/>
    </row>
    <row r="5" spans="1:22" ht="17.25" customHeight="1">
      <c r="A5" s="1169"/>
      <c r="B5" s="1169" t="s">
        <v>1</v>
      </c>
      <c r="C5" s="1198" t="s">
        <v>478</v>
      </c>
      <c r="D5" s="1177"/>
      <c r="E5" s="1152">
        <f>K*86400*365*i/2.54/12/n</f>
        <v>113.81102362204727</v>
      </c>
      <c r="F5" s="1186" t="s">
        <v>190</v>
      </c>
      <c r="G5" s="1199"/>
      <c r="H5" s="1169"/>
      <c r="I5" s="556"/>
      <c r="J5" s="1169"/>
      <c r="K5" s="1199"/>
      <c r="L5" s="1169"/>
      <c r="M5" s="1169"/>
      <c r="N5" s="1200" t="s">
        <v>606</v>
      </c>
      <c r="O5" s="498"/>
      <c r="P5" s="1182"/>
      <c r="Q5" s="1192" t="s">
        <v>596</v>
      </c>
      <c r="R5" s="1192"/>
      <c r="S5" s="1192"/>
      <c r="T5" s="1197"/>
      <c r="U5" s="1185"/>
      <c r="V5" s="1177"/>
    </row>
    <row r="6" spans="1:22" ht="9.75" customHeight="1">
      <c r="A6" s="1169"/>
      <c r="B6" s="1201" t="s">
        <v>2</v>
      </c>
      <c r="C6" s="1202"/>
      <c r="D6" s="1177"/>
      <c r="E6" s="1203"/>
      <c r="F6" s="1186"/>
      <c r="G6" s="1199"/>
      <c r="H6" s="1204" t="s">
        <v>614</v>
      </c>
      <c r="I6" s="1204"/>
      <c r="J6" s="1205"/>
      <c r="K6" s="1205"/>
      <c r="L6" s="1205"/>
      <c r="M6" s="1205"/>
      <c r="N6" s="1206"/>
      <c r="O6" s="1207" t="s">
        <v>686</v>
      </c>
      <c r="P6" s="1208" t="s">
        <v>491</v>
      </c>
      <c r="Q6" s="498"/>
      <c r="R6" s="1192"/>
      <c r="S6" s="1192"/>
      <c r="T6" s="1197"/>
      <c r="U6" s="1185"/>
      <c r="V6" s="1177"/>
    </row>
    <row r="7" spans="1:22" ht="12.75" customHeight="1">
      <c r="A7" s="1169"/>
      <c r="B7" s="1169" t="s">
        <v>3</v>
      </c>
      <c r="C7" s="1198" t="s">
        <v>4</v>
      </c>
      <c r="D7" s="1177"/>
      <c r="E7" s="1163">
        <v>0.0011</v>
      </c>
      <c r="F7" s="1186" t="s">
        <v>284</v>
      </c>
      <c r="G7" s="1209"/>
      <c r="H7" s="1169" t="s">
        <v>615</v>
      </c>
      <c r="I7" s="1169"/>
      <c r="J7" s="1158">
        <v>5</v>
      </c>
      <c r="K7" s="1169" t="s">
        <v>94</v>
      </c>
      <c r="L7" s="1169"/>
      <c r="M7" s="1210"/>
      <c r="N7" s="1206"/>
      <c r="O7" s="182">
        <v>20</v>
      </c>
      <c r="P7" s="1182" t="s">
        <v>492</v>
      </c>
      <c r="Q7" s="1192"/>
      <c r="R7" s="1192"/>
      <c r="S7" s="1192"/>
      <c r="T7" s="1197"/>
      <c r="U7" s="1211"/>
      <c r="V7" s="1177"/>
    </row>
    <row r="8" spans="1:22" ht="12.75" customHeight="1">
      <c r="A8" s="1169"/>
      <c r="B8" s="1169" t="s">
        <v>5</v>
      </c>
      <c r="C8" s="1212" t="s">
        <v>6</v>
      </c>
      <c r="D8" s="1177"/>
      <c r="E8" s="1164">
        <v>0.03</v>
      </c>
      <c r="F8" s="1186" t="s">
        <v>288</v>
      </c>
      <c r="G8" s="1199"/>
      <c r="H8" s="1169"/>
      <c r="I8" s="1169"/>
      <c r="J8" s="1169"/>
      <c r="K8" s="1169"/>
      <c r="L8" s="1169"/>
      <c r="M8" s="1210"/>
      <c r="N8" s="1181"/>
      <c r="O8" s="581">
        <v>12</v>
      </c>
      <c r="P8" s="1213" t="s">
        <v>7</v>
      </c>
      <c r="Q8" s="498"/>
      <c r="R8" s="498"/>
      <c r="S8" s="498"/>
      <c r="T8" s="498"/>
      <c r="U8" s="1211"/>
      <c r="V8" s="1177"/>
    </row>
    <row r="9" spans="1:22" ht="15" customHeight="1">
      <c r="A9" s="1169"/>
      <c r="B9" s="1169" t="s">
        <v>189</v>
      </c>
      <c r="C9" s="1202" t="s">
        <v>471</v>
      </c>
      <c r="D9" s="1177"/>
      <c r="E9" s="1165">
        <v>0.3</v>
      </c>
      <c r="F9" s="1186" t="s">
        <v>374</v>
      </c>
      <c r="G9" s="1199"/>
      <c r="H9" s="1214" t="s">
        <v>594</v>
      </c>
      <c r="I9" s="1204"/>
      <c r="J9" s="1205"/>
      <c r="K9" s="1205"/>
      <c r="L9" s="1205"/>
      <c r="M9" s="1205"/>
      <c r="N9" s="1215"/>
      <c r="O9" s="1216" t="s">
        <v>4</v>
      </c>
      <c r="P9" s="1217" t="s">
        <v>490</v>
      </c>
      <c r="Q9" s="1218"/>
      <c r="R9" s="1218"/>
      <c r="S9" s="1218"/>
      <c r="T9" s="1218"/>
      <c r="U9" s="1219"/>
      <c r="V9" s="1177"/>
    </row>
    <row r="10" spans="1:22" ht="13.5" customHeight="1">
      <c r="A10" s="1169"/>
      <c r="B10" s="1169"/>
      <c r="C10" s="1220"/>
      <c r="D10" s="1221"/>
      <c r="E10" s="1221"/>
      <c r="F10" s="1169"/>
      <c r="G10" s="342"/>
      <c r="H10" s="1186" t="s">
        <v>488</v>
      </c>
      <c r="I10" s="342"/>
      <c r="J10" s="1222"/>
      <c r="K10" s="183">
        <v>10</v>
      </c>
      <c r="L10" s="1186" t="s">
        <v>201</v>
      </c>
      <c r="M10" s="1199"/>
      <c r="N10" s="1169"/>
      <c r="O10" s="1169"/>
      <c r="P10" s="1169"/>
      <c r="Q10" s="1169"/>
      <c r="R10" s="1169"/>
      <c r="S10" s="1169"/>
      <c r="T10" s="1169"/>
      <c r="U10" s="1223"/>
      <c r="V10" s="1177"/>
    </row>
    <row r="11" spans="1:22" ht="12.75" customHeight="1">
      <c r="A11" s="1169"/>
      <c r="B11" s="1204" t="s">
        <v>9</v>
      </c>
      <c r="C11" s="1224"/>
      <c r="D11" s="1225"/>
      <c r="E11" s="1226"/>
      <c r="F11" s="1169"/>
      <c r="G11" s="342"/>
      <c r="H11" s="1227" t="s">
        <v>10</v>
      </c>
      <c r="I11" s="1227"/>
      <c r="J11" s="1228"/>
      <c r="K11" s="1169"/>
      <c r="L11" s="1199"/>
      <c r="M11" s="1169"/>
      <c r="N11" s="1169"/>
      <c r="O11" s="1169"/>
      <c r="P11" s="1169"/>
      <c r="Q11" s="1169"/>
      <c r="R11" s="1169"/>
      <c r="S11" s="1169"/>
      <c r="T11" s="1223"/>
      <c r="U11" s="1223"/>
      <c r="V11" s="1177"/>
    </row>
    <row r="12" spans="1:22" ht="12.75" customHeight="1" thickBot="1">
      <c r="A12" s="1169"/>
      <c r="B12" s="1169" t="s">
        <v>11</v>
      </c>
      <c r="C12" s="1229" t="s">
        <v>383</v>
      </c>
      <c r="D12" s="1177"/>
      <c r="E12" s="1153">
        <f>3.28*0.82*(LOG10(PlumeLength/3.28))^2.446</f>
        <v>13.454496930271189</v>
      </c>
      <c r="F12" s="1186" t="s">
        <v>201</v>
      </c>
      <c r="G12" s="1186"/>
      <c r="H12" s="1230" t="s">
        <v>12</v>
      </c>
      <c r="I12" s="1231" t="s">
        <v>549</v>
      </c>
      <c r="J12" s="1232"/>
      <c r="K12" s="1169"/>
      <c r="L12" s="1199"/>
      <c r="M12" s="1169"/>
      <c r="N12" s="1169"/>
      <c r="O12" s="1169"/>
      <c r="P12" s="1169"/>
      <c r="Q12" s="1233"/>
      <c r="R12" s="1169"/>
      <c r="S12" s="1169"/>
      <c r="T12" s="1223"/>
      <c r="U12" s="1223"/>
      <c r="V12" s="1177"/>
    </row>
    <row r="13" spans="1:22" ht="16.5" customHeight="1" thickTop="1">
      <c r="A13" s="1169"/>
      <c r="B13" s="1169" t="s">
        <v>13</v>
      </c>
      <c r="C13" s="1234" t="s">
        <v>384</v>
      </c>
      <c r="D13" s="1177"/>
      <c r="E13" s="1153">
        <f>alpha.x/10</f>
        <v>1.345449693027119</v>
      </c>
      <c r="F13" s="1186" t="s">
        <v>201</v>
      </c>
      <c r="G13" s="1199"/>
      <c r="H13" s="1159">
        <v>50</v>
      </c>
      <c r="I13" s="1160">
        <v>70</v>
      </c>
      <c r="J13" s="1235">
        <v>1</v>
      </c>
      <c r="K13" s="1169"/>
      <c r="L13" s="1169"/>
      <c r="M13" s="1169"/>
      <c r="N13" s="1169"/>
      <c r="O13" s="1169"/>
      <c r="P13" s="1169"/>
      <c r="Q13" s="1169"/>
      <c r="R13" s="1169"/>
      <c r="S13" s="1169"/>
      <c r="T13" s="1169"/>
      <c r="U13" s="1223"/>
      <c r="V13" s="1177"/>
    </row>
    <row r="14" spans="1:22" ht="14.25" customHeight="1">
      <c r="A14" s="1169"/>
      <c r="B14" s="1169" t="s">
        <v>14</v>
      </c>
      <c r="C14" s="1234" t="s">
        <v>385</v>
      </c>
      <c r="D14" s="1177"/>
      <c r="E14" s="1153">
        <v>0</v>
      </c>
      <c r="F14" s="1186" t="s">
        <v>201</v>
      </c>
      <c r="G14" s="1199"/>
      <c r="H14" s="184">
        <v>25</v>
      </c>
      <c r="I14" s="185">
        <v>4500</v>
      </c>
      <c r="J14" s="1236"/>
      <c r="K14" s="1169"/>
      <c r="L14" s="1169"/>
      <c r="M14" s="1169"/>
      <c r="N14" s="1169"/>
      <c r="O14" s="1169"/>
      <c r="P14" s="1169"/>
      <c r="Q14" s="1169"/>
      <c r="R14" s="1169"/>
      <c r="S14" s="1169"/>
      <c r="T14" s="1223"/>
      <c r="U14" s="1223"/>
      <c r="V14" s="1177"/>
    </row>
    <row r="15" spans="1:22" ht="12" customHeight="1">
      <c r="A15" s="1169"/>
      <c r="B15" s="1201" t="s">
        <v>2</v>
      </c>
      <c r="C15" s="1202"/>
      <c r="D15" s="1237"/>
      <c r="E15" s="1238"/>
      <c r="F15" s="1239"/>
      <c r="G15" s="1201"/>
      <c r="H15" s="184">
        <v>100</v>
      </c>
      <c r="I15" s="185">
        <v>9000</v>
      </c>
      <c r="J15" s="1236"/>
      <c r="K15" s="1169"/>
      <c r="L15" s="1169"/>
      <c r="M15" s="1169"/>
      <c r="N15" s="1169"/>
      <c r="O15" s="1169"/>
      <c r="P15" s="1169"/>
      <c r="Q15" s="1169"/>
      <c r="R15" s="1169"/>
      <c r="S15" s="1169"/>
      <c r="T15" s="1223"/>
      <c r="U15" s="1223"/>
      <c r="V15" s="1177"/>
    </row>
    <row r="16" spans="1:22" ht="12.75" customHeight="1">
      <c r="A16" s="1169"/>
      <c r="B16" s="1169" t="s">
        <v>15</v>
      </c>
      <c r="C16" s="1212" t="s">
        <v>386</v>
      </c>
      <c r="D16" s="1177"/>
      <c r="E16" s="1166">
        <v>280</v>
      </c>
      <c r="F16" s="1186" t="s">
        <v>201</v>
      </c>
      <c r="G16" s="1199"/>
      <c r="H16" s="186">
        <f>Yo.2</f>
        <v>25</v>
      </c>
      <c r="I16" s="187">
        <f>Co.2</f>
        <v>4500</v>
      </c>
      <c r="J16" s="1236"/>
      <c r="K16" s="1169"/>
      <c r="L16" s="1169"/>
      <c r="M16" s="1169"/>
      <c r="N16" s="1169"/>
      <c r="O16" s="1169"/>
      <c r="P16" s="1169"/>
      <c r="Q16" s="1169"/>
      <c r="R16" s="1169"/>
      <c r="S16" s="1169"/>
      <c r="T16" s="1223"/>
      <c r="U16" s="1223"/>
      <c r="V16" s="1177"/>
    </row>
    <row r="17" spans="1:22" ht="12.75" customHeight="1" thickBot="1">
      <c r="A17" s="1169"/>
      <c r="B17" s="1169"/>
      <c r="C17" s="1202"/>
      <c r="D17" s="1177"/>
      <c r="E17" s="1221"/>
      <c r="F17" s="1169"/>
      <c r="G17" s="1169"/>
      <c r="H17" s="188">
        <f>Yo.1</f>
        <v>50</v>
      </c>
      <c r="I17" s="189">
        <f>Co.1</f>
        <v>70</v>
      </c>
      <c r="J17" s="1236"/>
      <c r="K17" s="1169"/>
      <c r="L17" s="1169"/>
      <c r="M17" s="1169"/>
      <c r="N17" s="1169"/>
      <c r="O17" s="1169"/>
      <c r="P17" s="1169"/>
      <c r="Q17" s="1169"/>
      <c r="R17" s="1169"/>
      <c r="S17" s="1169"/>
      <c r="T17" s="1223"/>
      <c r="U17" s="1223"/>
      <c r="V17" s="1177"/>
    </row>
    <row r="18" spans="1:22" ht="12.75" customHeight="1" thickTop="1">
      <c r="A18" s="1169"/>
      <c r="B18" s="1204" t="s">
        <v>16</v>
      </c>
      <c r="C18" s="1240"/>
      <c r="D18" s="1225"/>
      <c r="E18" s="1194"/>
      <c r="F18" s="1241"/>
      <c r="G18" s="342"/>
      <c r="H18" s="1241" t="s">
        <v>546</v>
      </c>
      <c r="I18" s="1242"/>
      <c r="J18" s="342"/>
      <c r="K18" s="1169"/>
      <c r="L18" s="1169"/>
      <c r="M18" s="1169"/>
      <c r="N18" s="1169"/>
      <c r="O18" s="1169"/>
      <c r="P18" s="1169"/>
      <c r="Q18" s="1169"/>
      <c r="R18" s="1169"/>
      <c r="S18" s="1169"/>
      <c r="T18" s="1169"/>
      <c r="U18" s="1223"/>
      <c r="V18" s="1177"/>
    </row>
    <row r="19" spans="1:22" ht="12.75" customHeight="1">
      <c r="A19" s="1169"/>
      <c r="B19" s="1197" t="s">
        <v>671</v>
      </c>
      <c r="C19" s="1243"/>
      <c r="D19" s="1194"/>
      <c r="E19" s="1154" t="s">
        <v>160</v>
      </c>
      <c r="F19" s="1241"/>
      <c r="G19" s="342"/>
      <c r="H19" s="190">
        <f>IF(Total_Mass="Infinite","Infinite",HLinst)</f>
        <v>3</v>
      </c>
      <c r="I19" s="191">
        <f>IF(Total_Mass="Infinite","Infinite",HLNo1st)</f>
        <v>10</v>
      </c>
      <c r="J19" s="1186" t="s">
        <v>94</v>
      </c>
      <c r="K19" s="1169"/>
      <c r="L19" s="1169"/>
      <c r="M19" s="1169"/>
      <c r="N19" s="1169"/>
      <c r="O19" s="1233" t="s">
        <v>19</v>
      </c>
      <c r="P19" s="1169"/>
      <c r="Q19" s="1244"/>
      <c r="R19" s="1169"/>
      <c r="S19" s="1169"/>
      <c r="T19" s="1169"/>
      <c r="U19" s="1223"/>
      <c r="V19" s="1177"/>
    </row>
    <row r="20" spans="1:22" ht="12.75" customHeight="1">
      <c r="A20" s="1169"/>
      <c r="B20" s="1169" t="s">
        <v>17</v>
      </c>
      <c r="C20" s="1212" t="s">
        <v>18</v>
      </c>
      <c r="D20" s="1177"/>
      <c r="E20" s="1155">
        <f>1+(rho/n)*Koc*foc</f>
        <v>2.0540000000000003</v>
      </c>
      <c r="F20" s="1186"/>
      <c r="G20" s="294"/>
      <c r="H20" s="1245" t="s">
        <v>20</v>
      </c>
      <c r="I20" s="1246" t="s">
        <v>486</v>
      </c>
      <c r="J20" s="342"/>
      <c r="K20" s="1223"/>
      <c r="L20" s="1169"/>
      <c r="M20" s="1247"/>
      <c r="N20" s="1247"/>
      <c r="O20" s="1248"/>
      <c r="P20" s="1247"/>
      <c r="Q20" s="1247"/>
      <c r="R20" s="1247"/>
      <c r="S20" s="1247"/>
      <c r="T20" s="1247"/>
      <c r="U20" s="1223"/>
      <c r="V20" s="1177"/>
    </row>
    <row r="21" spans="1:22" ht="12.75" customHeight="1">
      <c r="A21" s="1169"/>
      <c r="B21" s="1201" t="s">
        <v>2</v>
      </c>
      <c r="C21" s="1202"/>
      <c r="D21" s="1177"/>
      <c r="E21" s="1203"/>
      <c r="F21" s="1186"/>
      <c r="G21" s="1249"/>
      <c r="H21" s="1250" t="s">
        <v>23</v>
      </c>
      <c r="I21" s="192">
        <v>150</v>
      </c>
      <c r="J21" s="1186" t="s">
        <v>76</v>
      </c>
      <c r="K21" s="1169"/>
      <c r="L21" s="1251"/>
      <c r="M21" s="1252"/>
      <c r="N21" s="1252"/>
      <c r="O21" s="1252"/>
      <c r="P21" s="1252"/>
      <c r="Q21" s="1252"/>
      <c r="R21" s="1252"/>
      <c r="S21" s="1252"/>
      <c r="T21" s="1252"/>
      <c r="U21" s="1223"/>
      <c r="V21" s="1177"/>
    </row>
    <row r="22" spans="1:22" ht="18" customHeight="1">
      <c r="A22" s="1169"/>
      <c r="B22" s="1169" t="s">
        <v>673</v>
      </c>
      <c r="C22" s="1253" t="s">
        <v>387</v>
      </c>
      <c r="D22" s="1177"/>
      <c r="E22" s="1166">
        <v>1.7</v>
      </c>
      <c r="F22" s="1186" t="s">
        <v>289</v>
      </c>
      <c r="G22" s="1254"/>
      <c r="H22" s="1255" t="s">
        <v>489</v>
      </c>
      <c r="I22" s="342"/>
      <c r="J22" s="342"/>
      <c r="K22" s="1169"/>
      <c r="L22" s="1256"/>
      <c r="M22" s="1251" t="s">
        <v>405</v>
      </c>
      <c r="N22" s="1251"/>
      <c r="O22" s="1257"/>
      <c r="P22" s="1257"/>
      <c r="Q22" s="1252"/>
      <c r="R22" s="1252"/>
      <c r="S22" s="1252"/>
      <c r="T22" s="1252"/>
      <c r="U22" s="1223"/>
      <c r="V22" s="1177"/>
    </row>
    <row r="23" spans="1:22" ht="15" customHeight="1">
      <c r="A23" s="1169"/>
      <c r="B23" s="1169" t="s">
        <v>24</v>
      </c>
      <c r="C23" s="1202" t="s">
        <v>388</v>
      </c>
      <c r="D23" s="1177"/>
      <c r="E23" s="1166">
        <f>VLOOKUP(chemical_selec,ChemicalData,6,FALSE)</f>
        <v>62</v>
      </c>
      <c r="F23" s="1186" t="s">
        <v>290</v>
      </c>
      <c r="G23" s="1209"/>
      <c r="H23" s="1258" t="s">
        <v>607</v>
      </c>
      <c r="I23" s="1205"/>
      <c r="J23" s="1169"/>
      <c r="K23" s="1169"/>
      <c r="L23" s="1169"/>
      <c r="M23" s="1259" t="s">
        <v>611</v>
      </c>
      <c r="N23" s="1169"/>
      <c r="O23" s="1169"/>
      <c r="P23" s="1169"/>
      <c r="Q23" s="1169"/>
      <c r="R23" s="1169"/>
      <c r="S23" s="1169"/>
      <c r="T23" s="1169"/>
      <c r="U23" s="1223"/>
      <c r="V23" s="1177"/>
    </row>
    <row r="24" spans="1:22" ht="15" customHeight="1" thickBot="1">
      <c r="A24" s="1169"/>
      <c r="B24" s="1169" t="s">
        <v>672</v>
      </c>
      <c r="C24" s="1202" t="s">
        <v>389</v>
      </c>
      <c r="D24" s="1177"/>
      <c r="E24" s="1167">
        <v>0.003</v>
      </c>
      <c r="F24" s="1186" t="s">
        <v>374</v>
      </c>
      <c r="G24" s="1260"/>
      <c r="H24" s="1169"/>
      <c r="I24" s="1261" t="s">
        <v>487</v>
      </c>
      <c r="J24" s="592" t="s">
        <v>599</v>
      </c>
      <c r="K24" s="593" t="s">
        <v>600</v>
      </c>
      <c r="L24" s="593" t="s">
        <v>601</v>
      </c>
      <c r="M24" s="593" t="s">
        <v>602</v>
      </c>
      <c r="N24" s="593" t="s">
        <v>603</v>
      </c>
      <c r="O24" s="593"/>
      <c r="P24" s="593"/>
      <c r="Q24" s="593"/>
      <c r="R24" s="593"/>
      <c r="S24" s="593"/>
      <c r="T24" s="594"/>
      <c r="U24" s="1223"/>
      <c r="V24" s="1177"/>
    </row>
    <row r="25" spans="1:22" ht="15" customHeight="1" thickTop="1">
      <c r="A25" s="1169"/>
      <c r="B25" s="1169" t="s">
        <v>188</v>
      </c>
      <c r="C25" s="1202" t="s">
        <v>390</v>
      </c>
      <c r="D25" s="1177"/>
      <c r="E25" s="3">
        <f>Vs/Ret</f>
        <v>55.409456485904215</v>
      </c>
      <c r="F25" s="1169" t="s">
        <v>190</v>
      </c>
      <c r="G25" s="1169"/>
      <c r="H25" s="1169"/>
      <c r="I25" s="1262" t="s">
        <v>266</v>
      </c>
      <c r="J25" s="586">
        <v>0</v>
      </c>
      <c r="K25" s="587">
        <v>63</v>
      </c>
      <c r="L25" s="587">
        <v>130</v>
      </c>
      <c r="M25" s="587">
        <v>192</v>
      </c>
      <c r="N25" s="587">
        <v>288</v>
      </c>
      <c r="O25" s="587"/>
      <c r="P25" s="587"/>
      <c r="Q25" s="587"/>
      <c r="R25" s="587"/>
      <c r="S25" s="587"/>
      <c r="T25" s="588"/>
      <c r="U25" s="1223"/>
      <c r="V25" s="1177"/>
    </row>
    <row r="26" spans="1:22" ht="12.75" customHeight="1">
      <c r="A26" s="1169"/>
      <c r="B26" s="1214" t="s">
        <v>593</v>
      </c>
      <c r="C26" s="1263"/>
      <c r="D26" s="1225"/>
      <c r="E26" s="1195"/>
      <c r="F26" s="1169"/>
      <c r="G26" s="1169"/>
      <c r="H26" s="1169"/>
      <c r="I26" s="1261" t="s">
        <v>283</v>
      </c>
      <c r="J26" s="589">
        <v>0</v>
      </c>
      <c r="K26" s="590">
        <v>10</v>
      </c>
      <c r="L26" s="590">
        <v>12</v>
      </c>
      <c r="M26" s="590">
        <v>56</v>
      </c>
      <c r="N26" s="590">
        <v>10</v>
      </c>
      <c r="O26" s="590"/>
      <c r="P26" s="590"/>
      <c r="Q26" s="590"/>
      <c r="R26" s="590"/>
      <c r="S26" s="590"/>
      <c r="T26" s="591"/>
      <c r="U26" s="1223"/>
      <c r="V26" s="1177"/>
    </row>
    <row r="27" spans="1:22" ht="12.75" customHeight="1">
      <c r="A27" s="1169"/>
      <c r="B27" s="1264" t="s">
        <v>373</v>
      </c>
      <c r="C27" s="1265"/>
      <c r="D27" s="1194"/>
      <c r="E27" s="1195"/>
      <c r="F27" s="1169"/>
      <c r="G27" s="1199"/>
      <c r="H27" s="1169"/>
      <c r="I27" s="1261" t="s">
        <v>548</v>
      </c>
      <c r="J27" s="583">
        <v>6500</v>
      </c>
      <c r="K27" s="584">
        <v>3600</v>
      </c>
      <c r="L27" s="584">
        <v>1100</v>
      </c>
      <c r="M27" s="584">
        <v>250</v>
      </c>
      <c r="N27" s="584">
        <v>10</v>
      </c>
      <c r="O27" s="584"/>
      <c r="P27" s="584"/>
      <c r="Q27" s="584"/>
      <c r="R27" s="584"/>
      <c r="S27" s="584"/>
      <c r="T27" s="585"/>
      <c r="U27" s="1169"/>
      <c r="V27" s="1177"/>
    </row>
    <row r="28" spans="1:22" ht="12.75" customHeight="1">
      <c r="A28" s="1169"/>
      <c r="B28" s="1169" t="s">
        <v>544</v>
      </c>
      <c r="C28" s="1253" t="s">
        <v>472</v>
      </c>
      <c r="D28" s="1177"/>
      <c r="E28" s="1156">
        <v>0.9230976751499496</v>
      </c>
      <c r="F28" s="1186" t="s">
        <v>474</v>
      </c>
      <c r="G28" s="1199"/>
      <c r="H28" s="1169"/>
      <c r="I28" s="1261"/>
      <c r="J28" s="1266"/>
      <c r="K28" s="1266"/>
      <c r="L28" s="1266"/>
      <c r="M28" s="1266"/>
      <c r="N28" s="1266"/>
      <c r="O28" s="1266"/>
      <c r="P28" s="1266"/>
      <c r="Q28" s="1266"/>
      <c r="R28" s="1266"/>
      <c r="S28" s="1266"/>
      <c r="T28" s="1266"/>
      <c r="U28" s="1169"/>
      <c r="V28" s="1177"/>
    </row>
    <row r="29" spans="1:22" ht="12.75" customHeight="1">
      <c r="A29" s="1169"/>
      <c r="B29" s="1201" t="s">
        <v>2</v>
      </c>
      <c r="C29" s="1267"/>
      <c r="D29" s="1268"/>
      <c r="E29" s="1269"/>
      <c r="F29" s="342"/>
      <c r="G29" s="342"/>
      <c r="H29" s="1196" t="s">
        <v>595</v>
      </c>
      <c r="I29" s="1169"/>
      <c r="J29" s="1169"/>
      <c r="K29" s="1169"/>
      <c r="L29" s="1169"/>
      <c r="M29" s="1169"/>
      <c r="N29" s="1169"/>
      <c r="O29" s="1169"/>
      <c r="P29" s="1262"/>
      <c r="Q29" s="1262"/>
      <c r="R29" s="1262"/>
      <c r="S29" s="1262"/>
      <c r="T29" s="1262"/>
      <c r="U29" s="1223"/>
      <c r="V29" s="1177"/>
    </row>
    <row r="30" spans="1:22" ht="16.5" customHeight="1">
      <c r="A30" s="1169"/>
      <c r="B30" s="1197" t="s">
        <v>26</v>
      </c>
      <c r="C30" s="1243" t="s">
        <v>473</v>
      </c>
      <c r="D30" s="1194"/>
      <c r="E30" s="5">
        <f>0.693/lambda</f>
        <v>0.7507331224590376</v>
      </c>
      <c r="F30" s="1186" t="s">
        <v>94</v>
      </c>
      <c r="G30" s="1199"/>
      <c r="H30" s="1169"/>
      <c r="I30" s="1169"/>
      <c r="J30" s="1169"/>
      <c r="K30" s="1169"/>
      <c r="L30" s="1169"/>
      <c r="M30" s="1169"/>
      <c r="N30" s="1169"/>
      <c r="O30" s="1169"/>
      <c r="P30" s="1169"/>
      <c r="Q30" s="1169"/>
      <c r="R30" s="1169"/>
      <c r="S30" s="1169"/>
      <c r="T30" s="1169"/>
      <c r="U30" s="1223"/>
      <c r="V30" s="1177"/>
    </row>
    <row r="31" spans="1:22" ht="12.75" customHeight="1">
      <c r="A31" s="1169"/>
      <c r="B31" s="1270" t="s">
        <v>687</v>
      </c>
      <c r="C31" s="1271"/>
      <c r="D31" s="1272"/>
      <c r="E31" s="1162">
        <f>chitest_normal</f>
        <v>0.9997193860819114</v>
      </c>
      <c r="F31" s="1169"/>
      <c r="G31" s="1273"/>
      <c r="H31" s="1169"/>
      <c r="I31" s="1223"/>
      <c r="J31" s="1169"/>
      <c r="K31" s="1169"/>
      <c r="L31" s="1169"/>
      <c r="M31" s="1223"/>
      <c r="N31" s="1223"/>
      <c r="O31" s="1169"/>
      <c r="P31" s="1169"/>
      <c r="Q31" s="1169"/>
      <c r="R31" s="1169"/>
      <c r="S31" s="1169"/>
      <c r="T31" s="1223"/>
      <c r="U31" s="1223"/>
      <c r="V31" s="1177"/>
    </row>
    <row r="32" spans="1:22" ht="12.75" customHeight="1">
      <c r="A32" s="1169"/>
      <c r="B32" s="1274" t="s">
        <v>372</v>
      </c>
      <c r="C32" s="1275"/>
      <c r="D32" s="1177"/>
      <c r="E32" s="1177"/>
      <c r="F32" s="342"/>
      <c r="G32" s="1199"/>
      <c r="H32" s="1169"/>
      <c r="I32" s="1169"/>
      <c r="J32" s="1169"/>
      <c r="K32" s="1169"/>
      <c r="L32" s="1169"/>
      <c r="M32" s="1223"/>
      <c r="N32" s="1223"/>
      <c r="O32" s="1169"/>
      <c r="P32" s="1169"/>
      <c r="Q32" s="1223"/>
      <c r="R32" s="1223"/>
      <c r="S32" s="1223"/>
      <c r="T32" s="1223"/>
      <c r="U32" s="1223"/>
      <c r="V32" s="1177"/>
    </row>
    <row r="33" spans="1:22" ht="12.75" customHeight="1">
      <c r="A33" s="1169"/>
      <c r="B33" s="1169" t="s">
        <v>467</v>
      </c>
      <c r="C33" s="1275" t="s">
        <v>27</v>
      </c>
      <c r="D33" s="1177"/>
      <c r="E33" s="1157">
        <v>2.4</v>
      </c>
      <c r="F33" s="1186" t="s">
        <v>67</v>
      </c>
      <c r="G33" s="1199"/>
      <c r="H33" s="1169"/>
      <c r="I33" s="1169"/>
      <c r="J33" s="1169"/>
      <c r="K33" s="1169"/>
      <c r="L33" s="1169"/>
      <c r="M33" s="1223"/>
      <c r="N33" s="1223"/>
      <c r="O33" s="1169"/>
      <c r="P33" s="1169"/>
      <c r="Q33" s="1223"/>
      <c r="R33" s="1223"/>
      <c r="S33" s="1223"/>
      <c r="T33" s="1223"/>
      <c r="U33" s="1223"/>
      <c r="V33" s="1177"/>
    </row>
    <row r="34" spans="1:22" ht="12.75" customHeight="1">
      <c r="A34" s="1169"/>
      <c r="B34" s="1169" t="s">
        <v>28</v>
      </c>
      <c r="C34" s="1275" t="s">
        <v>468</v>
      </c>
      <c r="D34" s="1177"/>
      <c r="E34" s="1157">
        <v>0.3</v>
      </c>
      <c r="F34" s="1186" t="s">
        <v>67</v>
      </c>
      <c r="G34" s="1199"/>
      <c r="H34" s="1169"/>
      <c r="I34" s="1169"/>
      <c r="J34" s="1169"/>
      <c r="K34" s="1169"/>
      <c r="L34" s="1169"/>
      <c r="M34" s="1223"/>
      <c r="N34" s="1223"/>
      <c r="O34" s="1169"/>
      <c r="P34" s="1169"/>
      <c r="Q34" s="1223"/>
      <c r="R34" s="1223"/>
      <c r="S34" s="1223"/>
      <c r="T34" s="1223"/>
      <c r="U34" s="1223"/>
      <c r="V34" s="1177"/>
    </row>
    <row r="35" spans="1:22" ht="15" customHeight="1">
      <c r="A35" s="1169"/>
      <c r="B35" s="1169" t="s">
        <v>360</v>
      </c>
      <c r="C35" s="1275" t="s">
        <v>358</v>
      </c>
      <c r="D35" s="1177"/>
      <c r="E35" s="1157">
        <v>5</v>
      </c>
      <c r="F35" s="1186" t="s">
        <v>67</v>
      </c>
      <c r="G35" s="1199"/>
      <c r="H35" s="1169"/>
      <c r="I35" s="1169"/>
      <c r="J35" s="1169"/>
      <c r="K35" s="1169"/>
      <c r="L35" s="1169"/>
      <c r="M35" s="1169"/>
      <c r="N35" s="1169"/>
      <c r="O35" s="1169"/>
      <c r="P35" s="1169"/>
      <c r="Q35" s="1223"/>
      <c r="R35" s="1223"/>
      <c r="S35" s="1223"/>
      <c r="T35" s="1223"/>
      <c r="U35" s="1223"/>
      <c r="V35" s="1177"/>
    </row>
    <row r="36" spans="1:22" ht="12.75" customHeight="1">
      <c r="A36" s="1169"/>
      <c r="B36" s="1169" t="s">
        <v>30</v>
      </c>
      <c r="C36" s="1275" t="s">
        <v>401</v>
      </c>
      <c r="D36" s="1177"/>
      <c r="E36" s="1157">
        <v>11.3</v>
      </c>
      <c r="F36" s="1186" t="s">
        <v>67</v>
      </c>
      <c r="G36" s="1199"/>
      <c r="H36" s="1197"/>
      <c r="I36" s="1197"/>
      <c r="J36" s="1197"/>
      <c r="K36" s="1197"/>
      <c r="L36" s="1197"/>
      <c r="M36" s="1197"/>
      <c r="N36" s="1197"/>
      <c r="O36" s="1197"/>
      <c r="P36" s="1197"/>
      <c r="Q36" s="1223"/>
      <c r="R36" s="1223"/>
      <c r="S36" s="1223"/>
      <c r="T36" s="1223"/>
      <c r="U36" s="1223"/>
      <c r="V36" s="1177"/>
    </row>
    <row r="37" spans="1:22" ht="12.75" customHeight="1">
      <c r="A37" s="1169"/>
      <c r="B37" s="1169" t="s">
        <v>31</v>
      </c>
      <c r="C37" s="1275" t="s">
        <v>469</v>
      </c>
      <c r="D37" s="1177"/>
      <c r="E37" s="1157">
        <v>25</v>
      </c>
      <c r="F37" s="1186" t="s">
        <v>67</v>
      </c>
      <c r="G37" s="1199"/>
      <c r="H37" s="1197"/>
      <c r="I37" s="1197"/>
      <c r="J37" s="1197"/>
      <c r="K37" s="1197"/>
      <c r="L37" s="1197"/>
      <c r="M37" s="1197"/>
      <c r="N37" s="1197"/>
      <c r="O37" s="1184"/>
      <c r="P37" s="1197"/>
      <c r="Q37" s="1223"/>
      <c r="R37" s="1223"/>
      <c r="S37" s="1223"/>
      <c r="T37" s="1223"/>
      <c r="U37" s="1223"/>
      <c r="V37" s="1177"/>
    </row>
    <row r="38" spans="1:22" ht="12.75" customHeight="1">
      <c r="A38" s="1169"/>
      <c r="B38" s="1169" t="s">
        <v>33</v>
      </c>
      <c r="C38" s="1275" t="s">
        <v>359</v>
      </c>
      <c r="D38" s="1177"/>
      <c r="E38" s="1157">
        <v>0.414</v>
      </c>
      <c r="F38" s="1186" t="s">
        <v>67</v>
      </c>
      <c r="G38" s="1169"/>
      <c r="H38" s="1276"/>
      <c r="I38" s="1197"/>
      <c r="J38" s="1197"/>
      <c r="K38" s="1197"/>
      <c r="L38" s="1197"/>
      <c r="M38" s="1197"/>
      <c r="N38" s="1197"/>
      <c r="O38" s="1197"/>
      <c r="P38" s="1197"/>
      <c r="Q38" s="1223"/>
      <c r="R38" s="1223"/>
      <c r="S38" s="1223"/>
      <c r="T38" s="1223"/>
      <c r="U38" s="1169"/>
      <c r="V38" s="1177"/>
    </row>
    <row r="39" spans="1:22" ht="12.75" customHeight="1">
      <c r="A39" s="1169"/>
      <c r="B39" s="1197" t="s">
        <v>711</v>
      </c>
      <c r="C39" s="1194"/>
      <c r="D39" s="1277"/>
      <c r="E39" s="5">
        <f>0.001*biodegcap</f>
        <v>7.874300000000001</v>
      </c>
      <c r="F39" s="1197" t="s">
        <v>67</v>
      </c>
      <c r="G39" s="1197"/>
      <c r="H39" s="1276"/>
      <c r="I39" s="1197"/>
      <c r="J39" s="1197"/>
      <c r="K39" s="1197"/>
      <c r="L39" s="1197"/>
      <c r="M39" s="1197"/>
      <c r="N39" s="1197"/>
      <c r="O39" s="1197"/>
      <c r="P39" s="1197"/>
      <c r="Q39" s="1197"/>
      <c r="R39" s="1197"/>
      <c r="S39" s="1197"/>
      <c r="T39" s="1197"/>
      <c r="U39" s="1197"/>
      <c r="V39" s="1177"/>
    </row>
    <row r="40" spans="1:22" ht="12.75" customHeight="1">
      <c r="A40" s="1169"/>
      <c r="B40" s="1218" t="s">
        <v>493</v>
      </c>
      <c r="C40" s="1278"/>
      <c r="D40" s="1279"/>
      <c r="E40" s="295">
        <f>chitest_instreaction</f>
        <v>0</v>
      </c>
      <c r="F40" s="1280"/>
      <c r="G40" s="1218"/>
      <c r="H40" s="1281"/>
      <c r="I40" s="1218"/>
      <c r="J40" s="1218"/>
      <c r="K40" s="1218"/>
      <c r="L40" s="1218"/>
      <c r="M40" s="1218"/>
      <c r="N40" s="1218"/>
      <c r="O40" s="1218"/>
      <c r="P40" s="1218"/>
      <c r="Q40" s="1218"/>
      <c r="R40" s="1218"/>
      <c r="S40" s="1218"/>
      <c r="T40" s="1218"/>
      <c r="U40" s="1218"/>
      <c r="V40" s="1177"/>
    </row>
    <row r="41" spans="1:22" ht="12" customHeight="1" hidden="1">
      <c r="A41" s="180"/>
      <c r="B41" s="180"/>
      <c r="C41" s="4"/>
      <c r="D41" s="4"/>
      <c r="E41" s="4"/>
      <c r="F41" s="180"/>
      <c r="G41" s="180"/>
      <c r="H41" s="181"/>
      <c r="I41" s="180"/>
      <c r="J41" s="180"/>
      <c r="K41" s="180"/>
      <c r="L41" s="180"/>
      <c r="M41" s="180"/>
      <c r="N41" s="180"/>
      <c r="O41" s="180"/>
      <c r="P41" s="180"/>
      <c r="Q41" s="180"/>
      <c r="R41" s="180"/>
      <c r="S41" s="180"/>
      <c r="T41" s="180"/>
      <c r="U41" s="180"/>
      <c r="V41" s="4"/>
    </row>
    <row r="42" spans="1:22" ht="12.75" customHeight="1" hidden="1">
      <c r="A42" s="193"/>
      <c r="B42" s="193"/>
      <c r="C42" s="194"/>
      <c r="D42" s="194"/>
      <c r="E42" s="194"/>
      <c r="F42" s="193"/>
      <c r="G42" s="193"/>
      <c r="H42" s="193"/>
      <c r="I42" s="193"/>
      <c r="J42" s="193"/>
      <c r="K42" s="193"/>
      <c r="L42" s="193"/>
      <c r="M42" s="193"/>
      <c r="N42" s="193"/>
      <c r="O42" s="193"/>
      <c r="P42" s="193"/>
      <c r="Q42" s="193"/>
      <c r="R42" s="193"/>
      <c r="S42" s="193"/>
      <c r="T42" s="193"/>
      <c r="U42" s="193"/>
      <c r="V42" s="194"/>
    </row>
    <row r="43" spans="1:22" ht="12.75" hidden="1">
      <c r="A43" s="193"/>
      <c r="B43" s="193"/>
      <c r="C43" s="194"/>
      <c r="D43" s="194"/>
      <c r="E43" s="194"/>
      <c r="F43" s="193"/>
      <c r="G43" s="193"/>
      <c r="H43" s="193"/>
      <c r="I43" s="193"/>
      <c r="J43" s="193"/>
      <c r="K43" s="193"/>
      <c r="L43" s="193"/>
      <c r="M43" s="193"/>
      <c r="N43" s="193"/>
      <c r="O43" s="193"/>
      <c r="P43" s="193"/>
      <c r="Q43" s="193"/>
      <c r="R43" s="193"/>
      <c r="S43" s="193"/>
      <c r="T43" s="193"/>
      <c r="U43" s="193"/>
      <c r="V43" s="194"/>
    </row>
    <row r="44" spans="1:22" ht="12.75" hidden="1">
      <c r="A44" s="193"/>
      <c r="B44" s="193"/>
      <c r="C44" s="194"/>
      <c r="D44" s="194"/>
      <c r="E44" s="194"/>
      <c r="F44" s="193"/>
      <c r="G44" s="193"/>
      <c r="H44" s="193"/>
      <c r="I44" s="193"/>
      <c r="J44" s="193"/>
      <c r="K44" s="193"/>
      <c r="L44" s="193"/>
      <c r="M44" s="193"/>
      <c r="N44" s="193"/>
      <c r="O44" s="193"/>
      <c r="P44" s="193"/>
      <c r="Q44" s="193"/>
      <c r="R44" s="193"/>
      <c r="S44" s="193"/>
      <c r="T44" s="193"/>
      <c r="U44" s="193"/>
      <c r="V44" s="194"/>
    </row>
    <row r="45" spans="1:22" ht="12.75" hidden="1">
      <c r="A45" s="196"/>
      <c r="B45" s="196"/>
      <c r="C45" s="197"/>
      <c r="D45" s="197"/>
      <c r="E45" s="197"/>
      <c r="F45" s="196"/>
      <c r="G45" s="196"/>
      <c r="H45" s="196"/>
      <c r="I45" s="196"/>
      <c r="J45" s="193"/>
      <c r="K45" s="196"/>
      <c r="L45" s="196"/>
      <c r="M45" s="196"/>
      <c r="N45" s="196"/>
      <c r="O45" s="196"/>
      <c r="P45" s="196"/>
      <c r="Q45" s="196"/>
      <c r="R45" s="196"/>
      <c r="S45" s="196"/>
      <c r="T45" s="196"/>
      <c r="U45" s="196"/>
      <c r="V45" s="194"/>
    </row>
    <row r="46" spans="1:22" ht="12.75" hidden="1">
      <c r="A46" s="196"/>
      <c r="B46" s="198" t="s">
        <v>34</v>
      </c>
      <c r="C46" s="197"/>
      <c r="D46" s="197"/>
      <c r="E46" s="197"/>
      <c r="F46" s="196"/>
      <c r="G46" s="196"/>
      <c r="H46" s="196"/>
      <c r="I46" s="196"/>
      <c r="J46" s="196"/>
      <c r="K46" s="196"/>
      <c r="L46" s="196"/>
      <c r="M46" s="196"/>
      <c r="N46" s="196"/>
      <c r="O46" s="196"/>
      <c r="P46" s="196"/>
      <c r="Q46" s="196"/>
      <c r="R46" s="196"/>
      <c r="S46" s="196"/>
      <c r="T46" s="196"/>
      <c r="U46" s="196"/>
      <c r="V46" s="197"/>
    </row>
    <row r="47" spans="1:22" ht="12.75" hidden="1">
      <c r="A47" s="196"/>
      <c r="B47" s="196"/>
      <c r="C47" s="197"/>
      <c r="D47" s="197"/>
      <c r="E47" s="197"/>
      <c r="F47" s="196"/>
      <c r="G47" s="196"/>
      <c r="H47" s="196"/>
      <c r="I47" s="196"/>
      <c r="J47" s="196"/>
      <c r="K47" s="196"/>
      <c r="L47" s="196"/>
      <c r="M47" s="196"/>
      <c r="N47" s="196"/>
      <c r="O47" s="196"/>
      <c r="P47" s="196"/>
      <c r="Q47" s="196"/>
      <c r="R47" s="196"/>
      <c r="S47" s="196"/>
      <c r="T47" s="196"/>
      <c r="U47" s="196"/>
      <c r="V47" s="197"/>
    </row>
    <row r="48" spans="1:22" ht="13.5" hidden="1" thickBot="1">
      <c r="A48" s="196"/>
      <c r="B48" s="199" t="s">
        <v>35</v>
      </c>
      <c r="C48" s="197"/>
      <c r="D48" s="197"/>
      <c r="E48" s="197"/>
      <c r="F48" s="196"/>
      <c r="G48" s="196"/>
      <c r="H48" s="196"/>
      <c r="I48" s="199" t="s">
        <v>36</v>
      </c>
      <c r="J48" s="196"/>
      <c r="K48" s="196"/>
      <c r="L48" s="196"/>
      <c r="M48" s="196"/>
      <c r="N48" s="196"/>
      <c r="O48" s="196"/>
      <c r="P48" s="196"/>
      <c r="Q48" s="196"/>
      <c r="R48" s="196"/>
      <c r="S48" s="196"/>
      <c r="T48" s="196"/>
      <c r="U48" s="196"/>
      <c r="V48" s="197"/>
    </row>
    <row r="49" spans="1:22" ht="13.5" hidden="1" thickTop="1">
      <c r="A49" s="196"/>
      <c r="B49" s="200" t="s">
        <v>37</v>
      </c>
      <c r="C49" s="201" t="s">
        <v>38</v>
      </c>
      <c r="D49" s="201"/>
      <c r="E49" s="202" t="s">
        <v>466</v>
      </c>
      <c r="F49" s="203" t="s">
        <v>39</v>
      </c>
      <c r="G49" s="204"/>
      <c r="H49" s="205" t="s">
        <v>40</v>
      </c>
      <c r="I49" s="200" t="s">
        <v>41</v>
      </c>
      <c r="J49" s="206">
        <f>Yo.1</f>
        <v>50</v>
      </c>
      <c r="K49" s="207" t="s">
        <v>42</v>
      </c>
      <c r="L49" s="206">
        <f>IF(Yo.1=0,0,Yo.1*2+Yo.2*2+Yo.3)</f>
        <v>250</v>
      </c>
      <c r="M49" s="206"/>
      <c r="N49" s="204" t="s">
        <v>43</v>
      </c>
      <c r="O49" s="204">
        <f>Co.1</f>
        <v>70</v>
      </c>
      <c r="P49" s="204" t="s">
        <v>44</v>
      </c>
      <c r="Q49" s="204">
        <f>IF(O49=0,0,O49)</f>
        <v>70</v>
      </c>
      <c r="R49" s="204"/>
      <c r="S49" s="204" t="s">
        <v>45</v>
      </c>
      <c r="T49" s="205">
        <f>IF(C.1=0,0,C.1+biodegcap)</f>
        <v>7944.3</v>
      </c>
      <c r="U49" s="196"/>
      <c r="V49" s="197"/>
    </row>
    <row r="50" spans="1:22" ht="12.75" hidden="1">
      <c r="A50" s="193"/>
      <c r="B50" s="208" t="s">
        <v>46</v>
      </c>
      <c r="C50" s="209" t="s">
        <v>47</v>
      </c>
      <c r="D50" s="209"/>
      <c r="E50" s="210" t="s">
        <v>48</v>
      </c>
      <c r="F50" s="199" t="s">
        <v>49</v>
      </c>
      <c r="G50" s="211"/>
      <c r="H50" s="212"/>
      <c r="I50" s="208" t="s">
        <v>50</v>
      </c>
      <c r="J50" s="213">
        <f>Yo.2</f>
        <v>25</v>
      </c>
      <c r="K50" s="214" t="s">
        <v>51</v>
      </c>
      <c r="L50" s="213">
        <f>IF(Yo.2=0,0,(Yo.2*2+Yo.3))</f>
        <v>150</v>
      </c>
      <c r="M50" s="213"/>
      <c r="N50" s="211" t="s">
        <v>52</v>
      </c>
      <c r="O50" s="211">
        <f>Co.2</f>
        <v>4500</v>
      </c>
      <c r="P50" s="211" t="s">
        <v>53</v>
      </c>
      <c r="Q50" s="211">
        <f>IF(O50=0,0,O50-O49)</f>
        <v>4430</v>
      </c>
      <c r="R50" s="211"/>
      <c r="S50" s="211" t="s">
        <v>54</v>
      </c>
      <c r="T50" s="215">
        <f>IF(C.2=0,0,IF(C.1=0,C.2+biodegcap,C.2))</f>
        <v>4430</v>
      </c>
      <c r="U50" s="193"/>
      <c r="V50" s="197"/>
    </row>
    <row r="51" spans="1:22" ht="12.75" hidden="1">
      <c r="A51" s="193"/>
      <c r="B51" s="208" t="s">
        <v>55</v>
      </c>
      <c r="C51" s="210">
        <f>D.O.</f>
        <v>2.4</v>
      </c>
      <c r="D51" s="210"/>
      <c r="E51" s="216">
        <f>VLOOKUP($E$19,ChemicalData,8,FALSE)</f>
        <v>0.33</v>
      </c>
      <c r="F51" s="211">
        <f aca="true" t="shared" si="0" ref="F51:F56">C51*E51</f>
        <v>0.792</v>
      </c>
      <c r="G51" s="211"/>
      <c r="H51" s="217">
        <f aca="true" t="shared" si="1" ref="H51:H56">1000*F51/$F$57</f>
        <v>0.10058036904867734</v>
      </c>
      <c r="I51" s="208" t="s">
        <v>56</v>
      </c>
      <c r="J51" s="213">
        <f>Yo.3</f>
        <v>100</v>
      </c>
      <c r="K51" s="214" t="s">
        <v>57</v>
      </c>
      <c r="L51" s="213">
        <f>Yo.3</f>
        <v>100</v>
      </c>
      <c r="M51" s="213"/>
      <c r="N51" s="211" t="s">
        <v>58</v>
      </c>
      <c r="O51" s="211">
        <f>Co.3</f>
        <v>9000</v>
      </c>
      <c r="P51" s="211" t="s">
        <v>59</v>
      </c>
      <c r="Q51" s="211">
        <f>IF(O51=0,0,O51-O50)</f>
        <v>4500</v>
      </c>
      <c r="R51" s="211"/>
      <c r="S51" s="211" t="s">
        <v>60</v>
      </c>
      <c r="T51" s="215">
        <f>IF(C.3=0,0,IF(C.2=0,C.3+biodegcap,C.3))</f>
        <v>4500</v>
      </c>
      <c r="U51" s="193"/>
      <c r="V51" s="195"/>
    </row>
    <row r="52" spans="1:22" ht="12.75" hidden="1">
      <c r="A52" s="193"/>
      <c r="B52" s="208" t="s">
        <v>29</v>
      </c>
      <c r="C52" s="210">
        <f>NO3</f>
        <v>0.3</v>
      </c>
      <c r="D52" s="210"/>
      <c r="E52" s="216">
        <f>VLOOKUP($E$19,ChemicalData,9,FALSE)</f>
        <v>0.21</v>
      </c>
      <c r="F52" s="211">
        <f t="shared" si="0"/>
        <v>0.063</v>
      </c>
      <c r="G52" s="211"/>
      <c r="H52" s="217">
        <f t="shared" si="1"/>
        <v>0.008000711174326606</v>
      </c>
      <c r="I52" s="218" t="s">
        <v>61</v>
      </c>
      <c r="J52" s="213"/>
      <c r="K52" s="213"/>
      <c r="L52" s="211"/>
      <c r="M52" s="211"/>
      <c r="N52" s="211"/>
      <c r="O52" s="211"/>
      <c r="P52" s="211"/>
      <c r="Q52" s="211"/>
      <c r="R52" s="213"/>
      <c r="S52" s="213"/>
      <c r="T52" s="212"/>
      <c r="U52" s="193"/>
      <c r="V52" s="195"/>
    </row>
    <row r="53" spans="1:22" ht="12.75" hidden="1">
      <c r="A53" s="193"/>
      <c r="B53" s="208" t="s">
        <v>361</v>
      </c>
      <c r="C53" s="210">
        <f>Mn</f>
        <v>5</v>
      </c>
      <c r="D53" s="210"/>
      <c r="E53" s="216">
        <f>VLOOKUP($E$19,ChemicalData,10,FALSE)</f>
        <v>0.09</v>
      </c>
      <c r="F53" s="211">
        <f t="shared" si="0"/>
        <v>0.44999999999999996</v>
      </c>
      <c r="G53" s="211"/>
      <c r="H53" s="217">
        <f t="shared" si="1"/>
        <v>0.05714793695947575</v>
      </c>
      <c r="I53" s="219" t="s">
        <v>63</v>
      </c>
      <c r="J53" s="219"/>
      <c r="K53" s="219"/>
      <c r="L53" s="219"/>
      <c r="M53" s="219"/>
      <c r="N53" s="219"/>
      <c r="O53" s="219"/>
      <c r="P53" s="219"/>
      <c r="Q53" s="219"/>
      <c r="R53" s="219"/>
      <c r="S53" s="219"/>
      <c r="T53" s="212"/>
      <c r="U53" s="193"/>
      <c r="V53" s="195"/>
    </row>
    <row r="54" spans="1:22" ht="12.75" hidden="1">
      <c r="A54" s="193"/>
      <c r="B54" s="208" t="s">
        <v>62</v>
      </c>
      <c r="C54" s="210">
        <f>Fe</f>
        <v>11.3</v>
      </c>
      <c r="D54" s="210"/>
      <c r="E54" s="216">
        <f>VLOOKUP($E$19,ChemicalData,11,FALSE)</f>
        <v>0.047</v>
      </c>
      <c r="F54" s="211">
        <f t="shared" si="0"/>
        <v>0.5311</v>
      </c>
      <c r="G54" s="211"/>
      <c r="H54" s="217">
        <f t="shared" si="1"/>
        <v>0.06744726515372795</v>
      </c>
      <c r="I54" s="219" t="s">
        <v>64</v>
      </c>
      <c r="J54" s="219"/>
      <c r="K54" s="219"/>
      <c r="L54" s="219"/>
      <c r="M54" s="219"/>
      <c r="N54" s="219"/>
      <c r="O54" s="219"/>
      <c r="P54" s="219"/>
      <c r="Q54" s="219"/>
      <c r="R54" s="219"/>
      <c r="S54" s="219"/>
      <c r="T54" s="212"/>
      <c r="U54" s="193"/>
      <c r="V54" s="195"/>
    </row>
    <row r="55" spans="1:22" ht="12.75" hidden="1">
      <c r="A55" s="193"/>
      <c r="B55" s="208" t="s">
        <v>32</v>
      </c>
      <c r="C55" s="210">
        <f>SO4</f>
        <v>25</v>
      </c>
      <c r="D55" s="210"/>
      <c r="E55" s="216">
        <f>VLOOKUP($E$19,ChemicalData,12,FALSE)</f>
        <v>0.22</v>
      </c>
      <c r="F55" s="211">
        <f t="shared" si="0"/>
        <v>5.5</v>
      </c>
      <c r="G55" s="211"/>
      <c r="H55" s="217">
        <f t="shared" si="1"/>
        <v>0.6984747850602593</v>
      </c>
      <c r="I55" s="219" t="s">
        <v>66</v>
      </c>
      <c r="J55" s="219"/>
      <c r="K55" s="219"/>
      <c r="L55" s="219"/>
      <c r="M55" s="219"/>
      <c r="N55" s="219"/>
      <c r="O55" s="219"/>
      <c r="P55" s="219"/>
      <c r="Q55" s="219"/>
      <c r="R55" s="219"/>
      <c r="S55" s="219"/>
      <c r="T55" s="212"/>
      <c r="U55" s="193"/>
      <c r="V55" s="195"/>
    </row>
    <row r="56" spans="1:22" ht="12.75" hidden="1">
      <c r="A56" s="193"/>
      <c r="B56" s="208" t="s">
        <v>159</v>
      </c>
      <c r="C56" s="210">
        <f>methan</f>
        <v>0.414</v>
      </c>
      <c r="D56" s="210"/>
      <c r="E56" s="216">
        <f>VLOOKUP($E$19,ChemicalData,13,FALSE)</f>
        <v>1.3</v>
      </c>
      <c r="F56" s="211">
        <f t="shared" si="0"/>
        <v>0.5382</v>
      </c>
      <c r="G56" s="211"/>
      <c r="H56" s="217">
        <f t="shared" si="1"/>
        <v>0.06834893260353302</v>
      </c>
      <c r="I56" s="220" t="s">
        <v>68</v>
      </c>
      <c r="J56" s="219"/>
      <c r="K56" s="219"/>
      <c r="L56" s="219"/>
      <c r="M56" s="219"/>
      <c r="N56" s="219"/>
      <c r="O56" s="219"/>
      <c r="P56" s="219"/>
      <c r="Q56" s="219"/>
      <c r="R56" s="219"/>
      <c r="S56" s="219"/>
      <c r="T56" s="212"/>
      <c r="U56" s="193"/>
      <c r="V56" s="195"/>
    </row>
    <row r="57" spans="1:22" ht="13.5" hidden="1" thickBot="1">
      <c r="A57" s="193"/>
      <c r="B57" s="221"/>
      <c r="C57" s="222"/>
      <c r="D57" s="222"/>
      <c r="E57" s="223"/>
      <c r="F57" s="224">
        <f>1000*SUM(F51:F56)</f>
        <v>7874.3</v>
      </c>
      <c r="G57" s="225"/>
      <c r="H57" s="226" t="s">
        <v>547</v>
      </c>
      <c r="I57" s="218" t="s">
        <v>69</v>
      </c>
      <c r="J57" s="213"/>
      <c r="K57" s="213"/>
      <c r="L57" s="211"/>
      <c r="M57" s="211"/>
      <c r="N57" s="211"/>
      <c r="O57" s="211"/>
      <c r="P57" s="211"/>
      <c r="Q57" s="211"/>
      <c r="R57" s="213"/>
      <c r="S57" s="213"/>
      <c r="T57" s="212"/>
      <c r="U57" s="193"/>
      <c r="V57" s="195"/>
    </row>
    <row r="58" spans="1:22" ht="13.5" hidden="1" thickTop="1">
      <c r="A58" s="193"/>
      <c r="B58" s="193"/>
      <c r="C58" s="195"/>
      <c r="D58" s="195"/>
      <c r="E58" s="195"/>
      <c r="F58" s="193"/>
      <c r="G58" s="193"/>
      <c r="H58" s="193"/>
      <c r="I58" s="218" t="s">
        <v>70</v>
      </c>
      <c r="J58" s="193"/>
      <c r="K58" s="213"/>
      <c r="L58" s="211"/>
      <c r="M58" s="211"/>
      <c r="N58" s="211"/>
      <c r="O58" s="211"/>
      <c r="P58" s="211"/>
      <c r="Q58" s="211"/>
      <c r="R58" s="213"/>
      <c r="S58" s="213"/>
      <c r="T58" s="212"/>
      <c r="U58" s="193"/>
      <c r="V58" s="195"/>
    </row>
    <row r="59" spans="1:22" ht="12.75" hidden="1">
      <c r="A59" s="193"/>
      <c r="B59" s="219"/>
      <c r="C59" s="87"/>
      <c r="D59" s="87"/>
      <c r="E59" s="87"/>
      <c r="F59" s="219"/>
      <c r="G59" s="219"/>
      <c r="H59" s="219"/>
      <c r="I59" s="218" t="s">
        <v>71</v>
      </c>
      <c r="J59" s="193"/>
      <c r="K59" s="213"/>
      <c r="L59" s="211"/>
      <c r="M59" s="211"/>
      <c r="N59" s="211"/>
      <c r="O59" s="213"/>
      <c r="P59" s="211"/>
      <c r="Q59" s="211"/>
      <c r="R59" s="213"/>
      <c r="S59" s="213"/>
      <c r="T59" s="212"/>
      <c r="U59" s="193"/>
      <c r="V59" s="195"/>
    </row>
    <row r="60" spans="1:22" ht="13.5" hidden="1" thickBot="1">
      <c r="A60" s="193"/>
      <c r="B60" s="219"/>
      <c r="C60" s="87"/>
      <c r="D60" s="87"/>
      <c r="E60" s="87"/>
      <c r="F60" s="219"/>
      <c r="G60" s="219"/>
      <c r="H60" s="219"/>
      <c r="I60" s="227" t="s">
        <v>72</v>
      </c>
      <c r="J60" s="228"/>
      <c r="K60" s="229"/>
      <c r="L60" s="229"/>
      <c r="M60" s="229"/>
      <c r="N60" s="229"/>
      <c r="O60" s="228"/>
      <c r="P60" s="229"/>
      <c r="Q60" s="229"/>
      <c r="R60" s="228"/>
      <c r="S60" s="228"/>
      <c r="T60" s="230"/>
      <c r="U60" s="193"/>
      <c r="V60" s="195"/>
    </row>
    <row r="61" spans="1:22" ht="14.25" hidden="1" thickBot="1" thickTop="1">
      <c r="A61" s="193"/>
      <c r="B61" s="219"/>
      <c r="C61" s="87"/>
      <c r="D61" s="87"/>
      <c r="E61" s="87"/>
      <c r="F61" s="219"/>
      <c r="G61" s="219"/>
      <c r="H61" s="219"/>
      <c r="I61" s="193"/>
      <c r="J61" s="193"/>
      <c r="K61" s="193"/>
      <c r="L61" s="193"/>
      <c r="M61" s="193"/>
      <c r="N61" s="193"/>
      <c r="O61" s="193"/>
      <c r="P61" s="193"/>
      <c r="Q61" s="193"/>
      <c r="R61" s="193"/>
      <c r="S61" s="193"/>
      <c r="T61" s="193"/>
      <c r="U61" s="193"/>
      <c r="V61" s="195"/>
    </row>
    <row r="62" spans="1:22" ht="14.25" hidden="1" thickBot="1" thickTop="1">
      <c r="A62" s="193"/>
      <c r="B62" s="231" t="s">
        <v>73</v>
      </c>
      <c r="C62" s="195"/>
      <c r="D62" s="195"/>
      <c r="E62" s="195"/>
      <c r="F62" s="193"/>
      <c r="G62" s="193"/>
      <c r="H62" s="193"/>
      <c r="I62" s="232" t="s">
        <v>77</v>
      </c>
      <c r="J62" s="206"/>
      <c r="K62" s="206"/>
      <c r="L62" s="206"/>
      <c r="M62" s="206"/>
      <c r="N62" s="206"/>
      <c r="O62" s="206"/>
      <c r="P62" s="206"/>
      <c r="Q62" s="206"/>
      <c r="R62" s="233"/>
      <c r="S62" s="193"/>
      <c r="T62" s="193"/>
      <c r="U62" s="193"/>
      <c r="V62" s="195"/>
    </row>
    <row r="63" spans="1:22" ht="13.5" hidden="1" thickTop="1">
      <c r="A63" s="193"/>
      <c r="B63" s="234" t="s">
        <v>74</v>
      </c>
      <c r="C63" s="235"/>
      <c r="D63" s="236" t="s">
        <v>75</v>
      </c>
      <c r="E63" s="235"/>
      <c r="F63" s="206">
        <f>I21</f>
        <v>150</v>
      </c>
      <c r="G63" s="206"/>
      <c r="H63" s="206" t="s">
        <v>76</v>
      </c>
      <c r="I63" s="237" t="s">
        <v>81</v>
      </c>
      <c r="J63" s="213"/>
      <c r="K63" s="213"/>
      <c r="L63" s="213"/>
      <c r="M63" s="213"/>
      <c r="N63" s="213"/>
      <c r="O63" s="213"/>
      <c r="P63" s="213"/>
      <c r="Q63" s="213"/>
      <c r="R63" s="212"/>
      <c r="S63" s="193"/>
      <c r="T63" s="193"/>
      <c r="U63" s="193"/>
      <c r="V63" s="195"/>
    </row>
    <row r="64" spans="1:22" ht="12.75" hidden="1">
      <c r="A64" s="193"/>
      <c r="B64" s="218" t="s">
        <v>78</v>
      </c>
      <c r="C64" s="238"/>
      <c r="D64" s="238" t="s">
        <v>79</v>
      </c>
      <c r="E64" s="238"/>
      <c r="F64" s="239">
        <f>Vs*n*Z*MAX(Y.1,Y.2,Y.3)*28.3</f>
        <v>2415638.9763779533</v>
      </c>
      <c r="G64" s="213"/>
      <c r="H64" s="213" t="s">
        <v>80</v>
      </c>
      <c r="I64" s="237" t="s">
        <v>84</v>
      </c>
      <c r="J64" s="213"/>
      <c r="K64" s="213"/>
      <c r="L64" s="213"/>
      <c r="M64" s="213"/>
      <c r="N64" s="213"/>
      <c r="O64" s="213"/>
      <c r="P64" s="213"/>
      <c r="Q64" s="213"/>
      <c r="R64" s="212"/>
      <c r="S64" s="193"/>
      <c r="T64" s="193"/>
      <c r="U64" s="193"/>
      <c r="V64" s="195"/>
    </row>
    <row r="65" spans="1:22" ht="12.75" hidden="1">
      <c r="A65" s="193"/>
      <c r="B65" s="218" t="s">
        <v>82</v>
      </c>
      <c r="C65" s="238"/>
      <c r="D65" s="238" t="s">
        <v>83</v>
      </c>
      <c r="E65" s="238"/>
      <c r="F65" s="213">
        <f>(Yo.1*Co.1*2+Yo.2*Co.2*2+Yo.3*Co.3)/(MAX(Y.1,Y.2,Y.3))</f>
        <v>4528</v>
      </c>
      <c r="G65" s="213"/>
      <c r="H65" s="213" t="s">
        <v>547</v>
      </c>
      <c r="I65" s="240" t="s">
        <v>88</v>
      </c>
      <c r="J65" s="241"/>
      <c r="K65" s="241"/>
      <c r="L65" s="241"/>
      <c r="M65" s="241"/>
      <c r="N65" s="241"/>
      <c r="O65" s="241"/>
      <c r="P65" s="241"/>
      <c r="Q65" s="241"/>
      <c r="R65" s="212"/>
      <c r="S65" s="193"/>
      <c r="T65" s="193"/>
      <c r="U65" s="193"/>
      <c r="V65" s="195"/>
    </row>
    <row r="66" spans="1:22" ht="12.75" hidden="1">
      <c r="A66" s="193"/>
      <c r="B66" s="218" t="s">
        <v>85</v>
      </c>
      <c r="C66" s="238"/>
      <c r="D66" s="238" t="s">
        <v>86</v>
      </c>
      <c r="E66" s="238"/>
      <c r="F66" s="213">
        <f>Q*COavg/1000000000</f>
        <v>10.938013285039373</v>
      </c>
      <c r="G66" s="213"/>
      <c r="H66" s="213" t="s">
        <v>87</v>
      </c>
      <c r="I66" s="237"/>
      <c r="J66" s="193"/>
      <c r="K66" s="193"/>
      <c r="L66" s="193"/>
      <c r="M66" s="193"/>
      <c r="N66" s="193"/>
      <c r="O66" s="193"/>
      <c r="P66" s="193"/>
      <c r="Q66" s="193"/>
      <c r="R66" s="212"/>
      <c r="S66" s="193"/>
      <c r="T66" s="193"/>
      <c r="U66" s="193"/>
      <c r="V66" s="195"/>
    </row>
    <row r="67" spans="1:22" ht="12.75" hidden="1">
      <c r="A67" s="193"/>
      <c r="B67" s="218" t="s">
        <v>89</v>
      </c>
      <c r="C67" s="238"/>
      <c r="D67" s="238" t="s">
        <v>90</v>
      </c>
      <c r="E67" s="238"/>
      <c r="F67" s="239">
        <f>IF(Total_Mass="Infinite",0,Q*COavg/Total_Mass/1000000000)</f>
        <v>0.07292008856692916</v>
      </c>
      <c r="G67" s="213"/>
      <c r="H67" s="213" t="s">
        <v>91</v>
      </c>
      <c r="I67" s="237" t="s">
        <v>95</v>
      </c>
      <c r="J67" s="213"/>
      <c r="K67" s="213"/>
      <c r="L67" s="213"/>
      <c r="M67" s="213"/>
      <c r="N67" s="213"/>
      <c r="O67" s="213"/>
      <c r="P67" s="213"/>
      <c r="Q67" s="213"/>
      <c r="R67" s="212"/>
      <c r="S67" s="193"/>
      <c r="T67" s="193"/>
      <c r="U67" s="193"/>
      <c r="V67" s="195"/>
    </row>
    <row r="68" spans="1:22" ht="12.75" hidden="1">
      <c r="A68" s="193"/>
      <c r="B68" s="218" t="s">
        <v>92</v>
      </c>
      <c r="C68" s="238"/>
      <c r="D68" s="238" t="s">
        <v>93</v>
      </c>
      <c r="E68" s="238"/>
      <c r="F68" s="242">
        <f>IF(F67=0,"Infinite",0.693/F67)</f>
        <v>9.503554008494312</v>
      </c>
      <c r="G68" s="213"/>
      <c r="H68" s="213" t="s">
        <v>94</v>
      </c>
      <c r="I68" s="243">
        <f>IF(F68&lt;1,"&lt;1",IF(F68&lt;10,ROUND(F68,0),IF(F68&lt;100,ROUND(F68,-1),IF(F68&lt;1000,ROUND(F68,-2),"&gt;1000"))))</f>
        <v>10</v>
      </c>
      <c r="J68" s="213" t="s">
        <v>96</v>
      </c>
      <c r="K68" s="213"/>
      <c r="L68" s="213"/>
      <c r="M68" s="213"/>
      <c r="N68" s="213"/>
      <c r="O68" s="213"/>
      <c r="P68" s="213"/>
      <c r="Q68" s="213"/>
      <c r="R68" s="212"/>
      <c r="S68" s="193"/>
      <c r="T68" s="193"/>
      <c r="U68" s="193"/>
      <c r="V68" s="195"/>
    </row>
    <row r="69" spans="1:22" ht="12.75" hidden="1">
      <c r="A69" s="193"/>
      <c r="B69" s="220"/>
      <c r="C69" s="238"/>
      <c r="D69" s="238"/>
      <c r="E69" s="238"/>
      <c r="F69" s="213"/>
      <c r="G69" s="213"/>
      <c r="H69" s="213"/>
      <c r="I69" s="237"/>
      <c r="J69" s="213" t="s">
        <v>99</v>
      </c>
      <c r="K69" s="213"/>
      <c r="L69" s="213"/>
      <c r="M69" s="213"/>
      <c r="N69" s="213"/>
      <c r="O69" s="213"/>
      <c r="P69" s="213"/>
      <c r="Q69" s="213"/>
      <c r="R69" s="212"/>
      <c r="S69" s="193"/>
      <c r="T69" s="193"/>
      <c r="U69" s="193"/>
      <c r="V69" s="195"/>
    </row>
    <row r="70" spans="1:22" ht="12.75" hidden="1">
      <c r="A70" s="193"/>
      <c r="B70" s="218" t="s">
        <v>97</v>
      </c>
      <c r="C70" s="238"/>
      <c r="D70" s="238" t="s">
        <v>98</v>
      </c>
      <c r="E70" s="238"/>
      <c r="F70" s="213">
        <f>COavg+biodegcap</f>
        <v>12402.3</v>
      </c>
      <c r="G70" s="213"/>
      <c r="H70" s="213" t="s">
        <v>547</v>
      </c>
      <c r="I70" s="237"/>
      <c r="J70" s="213"/>
      <c r="K70" s="213"/>
      <c r="L70" s="213"/>
      <c r="M70" s="213"/>
      <c r="N70" s="213"/>
      <c r="O70" s="213"/>
      <c r="P70" s="213"/>
      <c r="Q70" s="213"/>
      <c r="R70" s="212"/>
      <c r="S70" s="193"/>
      <c r="T70" s="193"/>
      <c r="U70" s="193"/>
      <c r="V70" s="195"/>
    </row>
    <row r="71" spans="1:22" ht="12.75" hidden="1">
      <c r="A71" s="193"/>
      <c r="B71" s="218"/>
      <c r="C71" s="238"/>
      <c r="D71" s="238" t="s">
        <v>100</v>
      </c>
      <c r="E71" s="238"/>
      <c r="F71" s="213">
        <f>Q*coavginst/1000000000</f>
        <v>29.95947927673229</v>
      </c>
      <c r="G71" s="213"/>
      <c r="H71" s="213" t="s">
        <v>87</v>
      </c>
      <c r="I71" s="237" t="s">
        <v>102</v>
      </c>
      <c r="J71" s="213"/>
      <c r="K71" s="213"/>
      <c r="L71" s="213"/>
      <c r="M71" s="213"/>
      <c r="N71" s="213"/>
      <c r="O71" s="213"/>
      <c r="P71" s="213"/>
      <c r="Q71" s="213"/>
      <c r="R71" s="212"/>
      <c r="S71" s="193"/>
      <c r="T71" s="193"/>
      <c r="U71" s="193"/>
      <c r="V71" s="195"/>
    </row>
    <row r="72" spans="1:22" ht="12.75" hidden="1">
      <c r="A72" s="193"/>
      <c r="B72" s="218" t="s">
        <v>82</v>
      </c>
      <c r="C72" s="238"/>
      <c r="D72" s="238" t="s">
        <v>101</v>
      </c>
      <c r="E72" s="238"/>
      <c r="F72" s="239">
        <f>IF(Total_Mass="Infinite",0,Q*coavginst/Total_Mass/1000000000)</f>
        <v>0.19972986184488192</v>
      </c>
      <c r="G72" s="213"/>
      <c r="H72" s="213" t="s">
        <v>91</v>
      </c>
      <c r="I72" s="243">
        <f>IF(F73&lt;1,"&lt;1",IF(F73&lt;10,ROUND(F73,0),IF(F73&lt;100,ROUND(F73,-1),IF(F73&lt;1000,ROUND(F73,-2),"&gt;1000"))))</f>
        <v>3</v>
      </c>
      <c r="J72" s="213" t="s">
        <v>105</v>
      </c>
      <c r="K72" s="213"/>
      <c r="L72" s="213"/>
      <c r="M72" s="213"/>
      <c r="N72" s="213"/>
      <c r="O72" s="213"/>
      <c r="P72" s="213"/>
      <c r="Q72" s="213"/>
      <c r="R72" s="212"/>
      <c r="S72" s="193"/>
      <c r="T72" s="193"/>
      <c r="U72" s="193"/>
      <c r="V72" s="195"/>
    </row>
    <row r="73" spans="1:22" ht="12.75" hidden="1">
      <c r="A73" s="193"/>
      <c r="B73" s="218" t="s">
        <v>103</v>
      </c>
      <c r="C73" s="238"/>
      <c r="D73" s="238" t="s">
        <v>104</v>
      </c>
      <c r="E73" s="238"/>
      <c r="F73" s="242">
        <f>IF(F67=0,"Infinite",0.693/F72)</f>
        <v>3.4696864735139656</v>
      </c>
      <c r="G73" s="213"/>
      <c r="H73" s="213" t="s">
        <v>94</v>
      </c>
      <c r="I73" s="237"/>
      <c r="J73" s="213" t="s">
        <v>107</v>
      </c>
      <c r="K73" s="213"/>
      <c r="L73" s="213"/>
      <c r="M73" s="213"/>
      <c r="N73" s="213"/>
      <c r="O73" s="213"/>
      <c r="P73" s="213"/>
      <c r="Q73" s="213"/>
      <c r="R73" s="212"/>
      <c r="S73" s="193"/>
      <c r="T73" s="193"/>
      <c r="U73" s="193"/>
      <c r="V73" s="195"/>
    </row>
    <row r="74" spans="1:22" ht="13.5" hidden="1" thickBot="1">
      <c r="A74" s="193"/>
      <c r="B74" s="218" t="s">
        <v>106</v>
      </c>
      <c r="C74" s="238"/>
      <c r="D74" s="238"/>
      <c r="E74" s="238"/>
      <c r="F74" s="213"/>
      <c r="G74" s="213"/>
      <c r="H74" s="213"/>
      <c r="I74" s="244"/>
      <c r="J74" s="228"/>
      <c r="K74" s="228"/>
      <c r="L74" s="228"/>
      <c r="M74" s="228"/>
      <c r="N74" s="228"/>
      <c r="O74" s="228"/>
      <c r="P74" s="228"/>
      <c r="Q74" s="228"/>
      <c r="R74" s="230"/>
      <c r="S74" s="193"/>
      <c r="T74" s="193"/>
      <c r="U74" s="193"/>
      <c r="V74" s="195"/>
    </row>
    <row r="75" spans="1:22" ht="14.25" hidden="1" thickBot="1" thickTop="1">
      <c r="A75" s="193"/>
      <c r="B75" s="227"/>
      <c r="C75" s="245"/>
      <c r="D75" s="245"/>
      <c r="E75" s="245"/>
      <c r="F75" s="228"/>
      <c r="G75" s="228"/>
      <c r="H75" s="228"/>
      <c r="I75" s="193"/>
      <c r="J75" s="193"/>
      <c r="K75" s="193"/>
      <c r="L75" s="193"/>
      <c r="M75" s="193"/>
      <c r="N75" s="193"/>
      <c r="O75" s="193"/>
      <c r="P75" s="193"/>
      <c r="Q75" s="193"/>
      <c r="R75" s="193"/>
      <c r="S75" s="193"/>
      <c r="T75" s="193"/>
      <c r="U75" s="193"/>
      <c r="V75" s="195"/>
    </row>
    <row r="76" spans="1:22" ht="14.25" hidden="1" thickBot="1" thickTop="1">
      <c r="A76" s="193"/>
      <c r="B76" s="231" t="s">
        <v>108</v>
      </c>
      <c r="C76" s="195"/>
      <c r="D76" s="195"/>
      <c r="E76" s="195"/>
      <c r="F76" s="193"/>
      <c r="G76" s="193"/>
      <c r="H76" s="193"/>
      <c r="I76" s="193"/>
      <c r="J76" s="193"/>
      <c r="K76" s="193"/>
      <c r="L76" s="193"/>
      <c r="M76" s="193"/>
      <c r="N76" s="193"/>
      <c r="O76" s="193"/>
      <c r="P76" s="193"/>
      <c r="Q76" s="193"/>
      <c r="R76" s="193"/>
      <c r="S76" s="196"/>
      <c r="T76" s="196"/>
      <c r="U76" s="196"/>
      <c r="V76" s="195"/>
    </row>
    <row r="77" spans="1:22" ht="13.5" hidden="1" thickTop="1">
      <c r="A77" s="193"/>
      <c r="B77" s="234" t="s">
        <v>109</v>
      </c>
      <c r="C77" s="235"/>
      <c r="D77" s="235"/>
      <c r="E77" s="235" t="s">
        <v>110</v>
      </c>
      <c r="F77" s="233"/>
      <c r="G77" s="193"/>
      <c r="H77" s="193"/>
      <c r="I77" s="193"/>
      <c r="J77" s="193"/>
      <c r="K77" s="193"/>
      <c r="L77" s="193"/>
      <c r="M77" s="193"/>
      <c r="N77" s="193"/>
      <c r="O77" s="193"/>
      <c r="P77" s="193"/>
      <c r="Q77" s="193"/>
      <c r="R77" s="193"/>
      <c r="S77" s="196"/>
      <c r="T77" s="196"/>
      <c r="U77" s="196"/>
      <c r="V77" s="197"/>
    </row>
    <row r="78" spans="1:22" ht="12.75" hidden="1">
      <c r="A78" s="193"/>
      <c r="B78" s="218" t="s">
        <v>111</v>
      </c>
      <c r="C78" s="238"/>
      <c r="D78" s="238"/>
      <c r="E78" s="238">
        <f>IF(alpha.zorig=0,1E-99,alpha.zorig)</f>
        <v>1E-99</v>
      </c>
      <c r="F78" s="212"/>
      <c r="G78" s="193"/>
      <c r="H78" s="193"/>
      <c r="I78" s="193"/>
      <c r="J78" s="193"/>
      <c r="K78" s="193" t="s">
        <v>113</v>
      </c>
      <c r="L78" s="193"/>
      <c r="M78" s="193"/>
      <c r="N78" s="193"/>
      <c r="O78" s="193"/>
      <c r="P78" s="193"/>
      <c r="Q78" s="193"/>
      <c r="R78" s="193"/>
      <c r="S78" s="196"/>
      <c r="T78" s="196"/>
      <c r="U78" s="196"/>
      <c r="V78" s="197"/>
    </row>
    <row r="79" spans="1:22" ht="13.5" hidden="1" thickBot="1">
      <c r="A79" s="193"/>
      <c r="B79" s="227" t="s">
        <v>112</v>
      </c>
      <c r="C79" s="245"/>
      <c r="D79" s="245"/>
      <c r="E79" s="245"/>
      <c r="F79" s="230"/>
      <c r="G79" s="193"/>
      <c r="H79" s="193"/>
      <c r="I79" s="196"/>
      <c r="J79" s="196"/>
      <c r="K79" s="219"/>
      <c r="L79" s="219"/>
      <c r="M79" s="219"/>
      <c r="N79" s="219"/>
      <c r="O79" s="219"/>
      <c r="P79" s="196"/>
      <c r="Q79" s="196"/>
      <c r="R79" s="196"/>
      <c r="S79" s="196"/>
      <c r="T79" s="196"/>
      <c r="U79" s="196"/>
      <c r="V79" s="197"/>
    </row>
    <row r="80" spans="1:22" ht="13.5" hidden="1" thickTop="1">
      <c r="A80" s="193"/>
      <c r="B80" s="196"/>
      <c r="C80" s="197"/>
      <c r="D80" s="197"/>
      <c r="E80" s="197"/>
      <c r="F80" s="196"/>
      <c r="G80" s="196"/>
      <c r="H80" s="196"/>
      <c r="I80" s="196"/>
      <c r="J80" s="196"/>
      <c r="K80" s="628" t="s">
        <v>55</v>
      </c>
      <c r="L80" s="629" t="s">
        <v>29</v>
      </c>
      <c r="M80" s="629" t="s">
        <v>62</v>
      </c>
      <c r="N80" s="629" t="s">
        <v>32</v>
      </c>
      <c r="O80" s="629" t="s">
        <v>65</v>
      </c>
      <c r="P80" s="630" t="s">
        <v>556</v>
      </c>
      <c r="Q80" s="196" t="s">
        <v>393</v>
      </c>
      <c r="R80" s="196"/>
      <c r="S80" s="196"/>
      <c r="T80" s="196"/>
      <c r="U80" s="196"/>
      <c r="V80" s="197"/>
    </row>
    <row r="81" spans="1:22" ht="12.75" hidden="1">
      <c r="A81" s="193"/>
      <c r="B81" s="196"/>
      <c r="C81" s="197"/>
      <c r="D81" s="197"/>
      <c r="E81" s="197"/>
      <c r="F81" s="196"/>
      <c r="G81" s="196"/>
      <c r="H81" s="196"/>
      <c r="I81" s="196"/>
      <c r="J81" s="196"/>
      <c r="K81" s="631">
        <f>H51</f>
        <v>0.10058036904867734</v>
      </c>
      <c r="L81" s="632">
        <f>H52</f>
        <v>0.008000711174326606</v>
      </c>
      <c r="M81" s="632">
        <f>H54</f>
        <v>0.06744726515372795</v>
      </c>
      <c r="N81" s="632">
        <f>H55</f>
        <v>0.6984747850602593</v>
      </c>
      <c r="O81" s="632">
        <f>H56</f>
        <v>0.06834893260353302</v>
      </c>
      <c r="P81" s="633">
        <f>H53</f>
        <v>0.05714793695947575</v>
      </c>
      <c r="Q81" s="627">
        <f>SUM(K81:P81)</f>
        <v>1</v>
      </c>
      <c r="R81" s="196"/>
      <c r="S81" s="196"/>
      <c r="T81" s="196"/>
      <c r="U81" s="196"/>
      <c r="V81" s="197"/>
    </row>
    <row r="82" spans="1:22" ht="13.5" hidden="1" thickBot="1">
      <c r="A82" s="193"/>
      <c r="B82" s="196"/>
      <c r="C82" s="197"/>
      <c r="D82" s="197"/>
      <c r="E82" s="197"/>
      <c r="F82" s="196"/>
      <c r="G82" s="196"/>
      <c r="H82" s="196"/>
      <c r="I82" s="196"/>
      <c r="J82" s="196"/>
      <c r="K82" s="634">
        <f>1/E51</f>
        <v>3.0303030303030303</v>
      </c>
      <c r="L82" s="635">
        <f>1/E52</f>
        <v>4.761904761904762</v>
      </c>
      <c r="M82" s="635">
        <f>1/E54</f>
        <v>21.27659574468085</v>
      </c>
      <c r="N82" s="635">
        <f>1/E55</f>
        <v>4.545454545454546</v>
      </c>
      <c r="O82" s="635">
        <f>1/E56</f>
        <v>0.7692307692307692</v>
      </c>
      <c r="P82" s="636">
        <f>1/E53</f>
        <v>11.11111111111111</v>
      </c>
      <c r="Q82" s="196"/>
      <c r="R82" s="196"/>
      <c r="S82" s="196"/>
      <c r="T82" s="196"/>
      <c r="U82" s="196"/>
      <c r="V82" s="197"/>
    </row>
    <row r="83" spans="1:22" ht="13.5" hidden="1" thickTop="1">
      <c r="A83" s="193"/>
      <c r="B83" s="246">
        <f>F73*365*24</f>
        <v>30394.45350798234</v>
      </c>
      <c r="C83" s="197"/>
      <c r="D83" s="197"/>
      <c r="E83" s="197"/>
      <c r="F83" s="196"/>
      <c r="G83" s="196"/>
      <c r="H83" s="196"/>
      <c r="I83" s="196"/>
      <c r="J83" s="196"/>
      <c r="K83" s="196"/>
      <c r="L83" s="196"/>
      <c r="M83" s="196"/>
      <c r="N83" s="196"/>
      <c r="O83" s="196"/>
      <c r="P83" s="196"/>
      <c r="Q83" s="196"/>
      <c r="R83" s="196"/>
      <c r="S83" s="196"/>
      <c r="T83" s="196"/>
      <c r="U83" s="196"/>
      <c r="V83" s="197"/>
    </row>
    <row r="84" spans="1:22" ht="12.75" hidden="1">
      <c r="A84" s="193"/>
      <c r="B84" s="196"/>
      <c r="C84" s="197"/>
      <c r="D84" s="197"/>
      <c r="E84" s="197"/>
      <c r="F84" s="196"/>
      <c r="G84" s="196"/>
      <c r="H84" s="196"/>
      <c r="I84" s="196"/>
      <c r="J84" s="196"/>
      <c r="K84" s="196"/>
      <c r="L84" s="196"/>
      <c r="M84" s="196"/>
      <c r="N84" s="196"/>
      <c r="O84" s="196"/>
      <c r="P84" s="196"/>
      <c r="Q84" s="196"/>
      <c r="R84" s="196"/>
      <c r="S84" s="196"/>
      <c r="T84" s="196"/>
      <c r="U84" s="196"/>
      <c r="V84" s="197"/>
    </row>
    <row r="85" spans="1:22" ht="12.75" hidden="1">
      <c r="A85" s="193"/>
      <c r="B85" s="196"/>
      <c r="C85" s="197"/>
      <c r="D85" s="197"/>
      <c r="E85" s="197"/>
      <c r="F85" s="196"/>
      <c r="G85" s="196"/>
      <c r="H85" s="196"/>
      <c r="I85" s="196"/>
      <c r="J85" s="196"/>
      <c r="K85" s="196"/>
      <c r="L85" s="196"/>
      <c r="M85" s="196"/>
      <c r="N85" s="196"/>
      <c r="O85" s="196"/>
      <c r="P85" s="196"/>
      <c r="Q85" s="196"/>
      <c r="R85" s="196"/>
      <c r="S85" s="196"/>
      <c r="T85" s="196"/>
      <c r="U85" s="196"/>
      <c r="V85" s="197"/>
    </row>
    <row r="86" spans="1:22" ht="12.75" hidden="1">
      <c r="A86" s="193"/>
      <c r="B86" s="196"/>
      <c r="C86" s="197"/>
      <c r="D86" s="197"/>
      <c r="E86" s="197"/>
      <c r="F86" s="196"/>
      <c r="G86" s="196"/>
      <c r="H86" s="196"/>
      <c r="I86" s="196"/>
      <c r="J86" s="196"/>
      <c r="K86" s="196"/>
      <c r="L86" s="196"/>
      <c r="M86" s="196"/>
      <c r="N86" s="196"/>
      <c r="O86" s="196"/>
      <c r="P86" s="196"/>
      <c r="Q86" s="196"/>
      <c r="R86" s="196"/>
      <c r="S86" s="196"/>
      <c r="T86" s="196"/>
      <c r="U86" s="196"/>
      <c r="V86" s="197"/>
    </row>
    <row r="87" spans="1:22" ht="12.75" hidden="1">
      <c r="A87" s="193"/>
      <c r="B87" s="196"/>
      <c r="C87" s="197"/>
      <c r="D87" s="197"/>
      <c r="E87" s="197"/>
      <c r="F87" s="196"/>
      <c r="G87" s="196"/>
      <c r="H87" s="196"/>
      <c r="I87" s="196"/>
      <c r="J87" s="196"/>
      <c r="K87" s="196"/>
      <c r="L87" s="196"/>
      <c r="M87" s="196"/>
      <c r="N87" s="196"/>
      <c r="O87" s="196"/>
      <c r="P87" s="196"/>
      <c r="Q87" s="196"/>
      <c r="R87" s="196"/>
      <c r="S87" s="196"/>
      <c r="T87" s="196"/>
      <c r="U87" s="196"/>
      <c r="V87" s="197"/>
    </row>
    <row r="88" spans="1:22" ht="12.75" hidden="1">
      <c r="A88" s="193"/>
      <c r="B88" s="196"/>
      <c r="C88" s="197"/>
      <c r="D88" s="197"/>
      <c r="E88" s="197"/>
      <c r="F88" s="196"/>
      <c r="G88" s="196"/>
      <c r="H88" s="196"/>
      <c r="I88" s="196"/>
      <c r="J88" s="196"/>
      <c r="K88" s="196"/>
      <c r="L88" s="196"/>
      <c r="M88" s="196"/>
      <c r="N88" s="196"/>
      <c r="O88" s="196"/>
      <c r="P88" s="196"/>
      <c r="Q88" s="196"/>
      <c r="R88" s="196"/>
      <c r="S88" s="196"/>
      <c r="T88" s="196"/>
      <c r="U88" s="196"/>
      <c r="V88" s="197"/>
    </row>
    <row r="89" spans="1:22" ht="13.5" hidden="1" thickBot="1">
      <c r="A89" s="193"/>
      <c r="B89" s="196"/>
      <c r="C89" s="197"/>
      <c r="D89" s="197"/>
      <c r="E89" s="197"/>
      <c r="F89" s="196"/>
      <c r="G89" s="196"/>
      <c r="H89" s="196"/>
      <c r="I89" s="196"/>
      <c r="J89" s="196"/>
      <c r="K89" s="196"/>
      <c r="L89" s="196"/>
      <c r="M89" s="196"/>
      <c r="N89" s="196"/>
      <c r="O89" s="196"/>
      <c r="P89" s="196"/>
      <c r="Q89" s="196"/>
      <c r="R89" s="196"/>
      <c r="S89" s="196"/>
      <c r="T89" s="196"/>
      <c r="U89" s="196"/>
      <c r="V89" s="197"/>
    </row>
    <row r="90" spans="1:22" ht="12.75" hidden="1">
      <c r="A90" s="193"/>
      <c r="B90" s="247" t="s">
        <v>199</v>
      </c>
      <c r="C90" s="248"/>
      <c r="D90" s="248"/>
      <c r="E90" s="248"/>
      <c r="F90" s="249">
        <f>'Centerline Output'!D133</f>
        <v>9.252148344440684E-73</v>
      </c>
      <c r="G90" s="196"/>
      <c r="H90" s="196"/>
      <c r="I90" s="196"/>
      <c r="J90" s="196"/>
      <c r="K90" s="196"/>
      <c r="L90" s="196"/>
      <c r="M90" s="196"/>
      <c r="N90" s="196"/>
      <c r="O90" s="196"/>
      <c r="P90" s="196"/>
      <c r="Q90" s="196"/>
      <c r="R90" s="196"/>
      <c r="S90" s="196"/>
      <c r="T90" s="196"/>
      <c r="U90" s="196"/>
      <c r="V90" s="197"/>
    </row>
    <row r="91" spans="1:22" ht="13.5" hidden="1" thickBot="1">
      <c r="A91" s="193"/>
      <c r="B91" s="250" t="s">
        <v>198</v>
      </c>
      <c r="C91" s="251"/>
      <c r="D91" s="251"/>
      <c r="E91" s="251"/>
      <c r="F91" s="249">
        <f>'Centerline Output'!G124</f>
        <v>0.9997193860819114</v>
      </c>
      <c r="G91" s="196"/>
      <c r="H91" s="196"/>
      <c r="I91" s="196"/>
      <c r="J91" s="196"/>
      <c r="K91" s="196"/>
      <c r="L91" s="196"/>
      <c r="M91" s="196"/>
      <c r="N91" s="196"/>
      <c r="O91" s="196"/>
      <c r="P91" s="196"/>
      <c r="Q91" s="196"/>
      <c r="R91" s="196"/>
      <c r="S91" s="196"/>
      <c r="T91" s="196"/>
      <c r="U91" s="196"/>
      <c r="V91" s="197"/>
    </row>
    <row r="92" spans="1:22" ht="13.5" hidden="1" thickBot="1">
      <c r="A92" s="193"/>
      <c r="B92" s="252" t="s">
        <v>368</v>
      </c>
      <c r="C92" s="253"/>
      <c r="D92" s="253"/>
      <c r="E92" s="253"/>
      <c r="F92" s="249">
        <f>'Centerline Output'!G144</f>
        <v>0</v>
      </c>
      <c r="G92" s="196"/>
      <c r="H92" s="196"/>
      <c r="I92" s="196"/>
      <c r="J92" s="196"/>
      <c r="K92" s="196"/>
      <c r="L92" s="196"/>
      <c r="M92" s="196"/>
      <c r="N92" s="196"/>
      <c r="O92" s="196"/>
      <c r="P92" s="196"/>
      <c r="Q92" s="196"/>
      <c r="R92" s="196"/>
      <c r="S92" s="196"/>
      <c r="T92" s="196"/>
      <c r="U92" s="196"/>
      <c r="V92" s="197"/>
    </row>
    <row r="93" spans="1:22" ht="12.75" hidden="1">
      <c r="A93" s="193"/>
      <c r="B93" s="193"/>
      <c r="C93" s="197"/>
      <c r="D93" s="197"/>
      <c r="E93" s="197"/>
      <c r="F93" s="196"/>
      <c r="G93" s="196"/>
      <c r="H93" s="196"/>
      <c r="I93" s="196"/>
      <c r="J93" s="196"/>
      <c r="K93" s="196"/>
      <c r="L93" s="196"/>
      <c r="M93" s="196"/>
      <c r="N93" s="196"/>
      <c r="O93" s="196"/>
      <c r="P93" s="196"/>
      <c r="Q93" s="196"/>
      <c r="R93" s="196"/>
      <c r="S93" s="196"/>
      <c r="T93" s="196"/>
      <c r="U93" s="196"/>
      <c r="V93" s="197"/>
    </row>
    <row r="94" spans="1:22" ht="12.75" hidden="1">
      <c r="A94" s="193"/>
      <c r="B94" s="196" t="s">
        <v>271</v>
      </c>
      <c r="C94" s="197"/>
      <c r="D94" s="197"/>
      <c r="E94" s="197"/>
      <c r="F94" s="196"/>
      <c r="G94" s="196"/>
      <c r="H94" s="196"/>
      <c r="I94" s="196"/>
      <c r="J94" s="196"/>
      <c r="K94" s="196"/>
      <c r="L94" s="196"/>
      <c r="M94" s="196"/>
      <c r="N94" s="196"/>
      <c r="O94" s="196"/>
      <c r="P94" s="196"/>
      <c r="Q94" s="196"/>
      <c r="R94" s="196"/>
      <c r="S94" s="196"/>
      <c r="T94" s="196"/>
      <c r="U94" s="196"/>
      <c r="V94" s="197"/>
    </row>
    <row r="95" spans="1:22" ht="12.75" hidden="1">
      <c r="A95" s="193"/>
      <c r="B95" s="196" t="s">
        <v>269</v>
      </c>
      <c r="C95" s="197"/>
      <c r="D95" s="197"/>
      <c r="E95" s="197"/>
      <c r="F95" s="196"/>
      <c r="G95" s="196"/>
      <c r="H95" s="196"/>
      <c r="I95" s="196"/>
      <c r="J95" s="196"/>
      <c r="K95" s="196"/>
      <c r="L95" s="196"/>
      <c r="M95" s="196"/>
      <c r="N95" s="196"/>
      <c r="O95" s="196"/>
      <c r="P95" s="196"/>
      <c r="Q95" s="196"/>
      <c r="R95" s="196"/>
      <c r="S95" s="196"/>
      <c r="T95" s="196"/>
      <c r="U95" s="196"/>
      <c r="V95" s="197"/>
    </row>
    <row r="96" spans="1:22" ht="13.5" hidden="1">
      <c r="A96" s="193"/>
      <c r="B96" s="254" t="s">
        <v>202</v>
      </c>
      <c r="C96" s="197">
        <f>Prediction!M24-Prediction!$O$9</f>
        <v>597.244278928776</v>
      </c>
      <c r="D96" s="197"/>
      <c r="E96" s="197"/>
      <c r="F96" s="196"/>
      <c r="G96" s="196"/>
      <c r="H96" s="196"/>
      <c r="I96" s="196"/>
      <c r="J96" s="196"/>
      <c r="K96" s="196"/>
      <c r="L96" s="196"/>
      <c r="M96" s="196"/>
      <c r="N96" s="196"/>
      <c r="O96" s="196"/>
      <c r="P96" s="196"/>
      <c r="Q96" s="196"/>
      <c r="R96" s="196"/>
      <c r="S96" s="196"/>
      <c r="T96" s="196"/>
      <c r="U96" s="196"/>
      <c r="V96" s="197"/>
    </row>
    <row r="97" spans="1:22" ht="13.5" hidden="1">
      <c r="A97" s="193"/>
      <c r="B97" s="254" t="s">
        <v>203</v>
      </c>
      <c r="C97" s="197">
        <f>Prediction!M25-Prediction!$O$9</f>
        <v>271.1496444102645</v>
      </c>
      <c r="D97" s="197"/>
      <c r="E97" s="197"/>
      <c r="F97" s="196"/>
      <c r="G97" s="196"/>
      <c r="H97" s="196"/>
      <c r="I97" s="196"/>
      <c r="J97" s="196"/>
      <c r="K97" s="196"/>
      <c r="L97" s="196"/>
      <c r="M97" s="196"/>
      <c r="N97" s="196"/>
      <c r="O97" s="196"/>
      <c r="P97" s="196"/>
      <c r="Q97" s="196"/>
      <c r="R97" s="196"/>
      <c r="S97" s="196"/>
      <c r="T97" s="196"/>
      <c r="U97" s="196"/>
      <c r="V97" s="197"/>
    </row>
    <row r="98" spans="1:22" ht="13.5" hidden="1">
      <c r="A98" s="193"/>
      <c r="B98" s="254" t="s">
        <v>204</v>
      </c>
      <c r="C98" s="197">
        <f>Prediction!M26-Prediction!$O$9</f>
        <v>-50</v>
      </c>
      <c r="D98" s="197"/>
      <c r="E98" s="197"/>
      <c r="F98" s="196"/>
      <c r="G98" s="196"/>
      <c r="H98" s="196"/>
      <c r="I98" s="196"/>
      <c r="J98" s="196"/>
      <c r="K98" s="196"/>
      <c r="L98" s="196"/>
      <c r="M98" s="196"/>
      <c r="N98" s="196"/>
      <c r="O98" s="196"/>
      <c r="P98" s="196"/>
      <c r="Q98" s="196"/>
      <c r="R98" s="196"/>
      <c r="S98" s="196"/>
      <c r="T98" s="196"/>
      <c r="U98" s="196"/>
      <c r="V98" s="197"/>
    </row>
    <row r="99" spans="1:22" ht="13.5" hidden="1">
      <c r="A99" s="193"/>
      <c r="B99" s="254" t="s">
        <v>270</v>
      </c>
      <c r="C99" s="197"/>
      <c r="D99" s="197"/>
      <c r="E99" s="197"/>
      <c r="F99" s="196"/>
      <c r="G99" s="196"/>
      <c r="H99" s="196"/>
      <c r="I99" s="196"/>
      <c r="J99" s="196"/>
      <c r="K99" s="196"/>
      <c r="L99" s="196"/>
      <c r="M99" s="196"/>
      <c r="N99" s="196"/>
      <c r="O99" s="196"/>
      <c r="P99" s="196"/>
      <c r="Q99" s="196"/>
      <c r="R99" s="196"/>
      <c r="S99" s="196"/>
      <c r="T99" s="196"/>
      <c r="U99" s="196"/>
      <c r="V99" s="197"/>
    </row>
    <row r="100" spans="1:22" ht="13.5" hidden="1">
      <c r="A100" s="193"/>
      <c r="B100" s="254" t="s">
        <v>202</v>
      </c>
      <c r="C100" s="197"/>
      <c r="D100" s="197"/>
      <c r="E100" s="197"/>
      <c r="F100" s="196"/>
      <c r="G100" s="196"/>
      <c r="H100" s="196"/>
      <c r="I100" s="196"/>
      <c r="J100" s="196"/>
      <c r="K100" s="196"/>
      <c r="L100" s="196"/>
      <c r="M100" s="196"/>
      <c r="N100" s="196"/>
      <c r="O100" s="196"/>
      <c r="P100" s="196"/>
      <c r="Q100" s="196"/>
      <c r="R100" s="196"/>
      <c r="S100" s="196"/>
      <c r="T100" s="196"/>
      <c r="U100" s="196"/>
      <c r="V100" s="197"/>
    </row>
    <row r="101" spans="1:22" ht="13.5" hidden="1">
      <c r="A101" s="193"/>
      <c r="B101" s="254" t="s">
        <v>203</v>
      </c>
      <c r="C101" s="197"/>
      <c r="D101" s="197"/>
      <c r="E101" s="197"/>
      <c r="F101" s="196"/>
      <c r="G101" s="196"/>
      <c r="H101" s="196"/>
      <c r="I101" s="196"/>
      <c r="J101" s="196"/>
      <c r="K101" s="196"/>
      <c r="L101" s="196"/>
      <c r="M101" s="196"/>
      <c r="N101" s="196"/>
      <c r="O101" s="196"/>
      <c r="P101" s="196"/>
      <c r="Q101" s="196"/>
      <c r="R101" s="196"/>
      <c r="S101" s="196"/>
      <c r="T101" s="196"/>
      <c r="U101" s="196"/>
      <c r="V101" s="197"/>
    </row>
    <row r="102" spans="1:22" ht="13.5" hidden="1">
      <c r="A102" s="193"/>
      <c r="B102" s="254" t="s">
        <v>204</v>
      </c>
      <c r="C102" s="197"/>
      <c r="D102" s="197"/>
      <c r="E102" s="197"/>
      <c r="F102" s="196"/>
      <c r="G102" s="196"/>
      <c r="H102" s="196"/>
      <c r="I102" s="196"/>
      <c r="J102" s="196"/>
      <c r="K102" s="196"/>
      <c r="L102" s="196"/>
      <c r="M102" s="196"/>
      <c r="N102" s="196"/>
      <c r="O102" s="196"/>
      <c r="P102" s="196"/>
      <c r="Q102" s="196"/>
      <c r="R102" s="196"/>
      <c r="S102" s="196"/>
      <c r="T102" s="196"/>
      <c r="U102" s="196"/>
      <c r="V102" s="197"/>
    </row>
    <row r="103" ht="12.75" hidden="1"/>
    <row r="104" ht="12.75" hidden="1"/>
    <row r="105" ht="12.75" hidden="1"/>
  </sheetData>
  <sheetProtection/>
  <mergeCells count="3">
    <mergeCell ref="I1:M1"/>
    <mergeCell ref="I2:M2"/>
    <mergeCell ref="I3:M3"/>
  </mergeCells>
  <dataValidations count="1">
    <dataValidation type="list" allowBlank="1" showInputMessage="1" showErrorMessage="1" sqref="E19">
      <formula1>chemicals</formula1>
    </dataValidation>
  </dataValidations>
  <hyperlinks>
    <hyperlink ref="C8" r:id="rId1" display="i"/>
    <hyperlink ref="C12" r:id="rId2" display="alpha x"/>
    <hyperlink ref="C20" r:id="rId3" display="R"/>
    <hyperlink ref="C5" r:id="rId4" display="Vgw"/>
    <hyperlink ref="C7" r:id="rId5" display="K"/>
    <hyperlink ref="C16" r:id="rId6" display="Lp"/>
    <hyperlink ref="B3" r:id="rId7" display="Modified from US EPA's Bioscreen 1.4 (1997)"/>
  </hyperlinks>
  <printOptions horizontalCentered="1" verticalCentered="1"/>
  <pageMargins left="0.5" right="0.48" top="1" bottom="0.5" header="0.33" footer="0.46"/>
  <pageSetup blackAndWhite="1" horizontalDpi="300" verticalDpi="300" orientation="landscape" scale="90" r:id="rId11"/>
  <headerFooter alignWithMargins="0">
    <oddHeader>&amp;LWashington State Department of Ecology: TCP program&amp;R&amp;D</oddHeader>
    <oddFooter>&amp;R&amp;A</oddFooter>
  </headerFooter>
  <drawing r:id="rId10"/>
  <legacyDrawing r:id="rId9"/>
</worksheet>
</file>

<file path=xl/worksheets/sheet5.xml><?xml version="1.0" encoding="utf-8"?>
<worksheet xmlns="http://schemas.openxmlformats.org/spreadsheetml/2006/main" xmlns:r="http://schemas.openxmlformats.org/officeDocument/2006/relationships">
  <sheetPr codeName="Sheet2">
    <pageSetUpPr fitToPage="1"/>
  </sheetPr>
  <dimension ref="A1:BM178"/>
  <sheetViews>
    <sheetView showGridLines="0" showRowColHeaders="0" zoomScale="108" zoomScaleNormal="108" zoomScalePageLayoutView="0" workbookViewId="0" topLeftCell="A1">
      <selection activeCell="A1" sqref="A1"/>
    </sheetView>
  </sheetViews>
  <sheetFormatPr defaultColWidth="10.625" defaultRowHeight="12.75"/>
  <cols>
    <col min="1" max="1" width="30.50390625" style="10" customWidth="1"/>
    <col min="2" max="2" width="8.75390625" style="10" customWidth="1"/>
    <col min="3" max="3" width="9.00390625" style="6" customWidth="1"/>
    <col min="4" max="11" width="8.75390625" style="7" customWidth="1"/>
    <col min="12" max="12" width="11.50390625" style="7" bestFit="1" customWidth="1"/>
    <col min="13" max="13" width="1.625" style="7" customWidth="1"/>
    <col min="14" max="15" width="7.50390625" style="953" customWidth="1"/>
    <col min="16" max="21" width="7.50390625" style="954" customWidth="1"/>
    <col min="22" max="23" width="7.50390625" style="955" customWidth="1"/>
    <col min="24" max="41" width="10.625" style="956" customWidth="1"/>
    <col min="42" max="42" width="7.625" style="956" customWidth="1"/>
    <col min="43" max="43" width="7.25390625" style="956" customWidth="1"/>
    <col min="44" max="44" width="7.875" style="956" customWidth="1"/>
    <col min="45" max="45" width="7.25390625" style="956" customWidth="1"/>
    <col min="46" max="46" width="8.00390625" style="956" customWidth="1"/>
    <col min="47" max="58" width="10.625" style="956" customWidth="1"/>
    <col min="59" max="65" width="10.625" style="957" customWidth="1"/>
    <col min="66" max="16384" width="10.625" style="10" customWidth="1"/>
  </cols>
  <sheetData>
    <row r="1" spans="1:65" s="88" customFormat="1" ht="15" customHeight="1">
      <c r="A1" s="580" t="s">
        <v>700</v>
      </c>
      <c r="B1" s="326"/>
      <c r="C1" s="294"/>
      <c r="D1" s="327"/>
      <c r="E1" s="327"/>
      <c r="F1" s="327"/>
      <c r="G1" s="292" t="str">
        <f>Input!H1</f>
        <v>Site Name:</v>
      </c>
      <c r="H1" s="340" t="str">
        <f>site_name</f>
        <v>Dummy XYZ site</v>
      </c>
      <c r="I1" s="327"/>
      <c r="J1" s="327"/>
      <c r="K1" s="327"/>
      <c r="L1" s="327"/>
      <c r="M1" s="327"/>
      <c r="N1" s="948"/>
      <c r="O1" s="948"/>
      <c r="P1" s="949"/>
      <c r="Q1" s="949"/>
      <c r="R1" s="949"/>
      <c r="S1" s="949"/>
      <c r="T1" s="949"/>
      <c r="U1" s="949"/>
      <c r="V1" s="950"/>
      <c r="W1" s="950"/>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c r="AZ1" s="951"/>
      <c r="BA1" s="951"/>
      <c r="BB1" s="951"/>
      <c r="BC1" s="951"/>
      <c r="BD1" s="951"/>
      <c r="BE1" s="951"/>
      <c r="BF1" s="951"/>
      <c r="BG1" s="952"/>
      <c r="BH1" s="952"/>
      <c r="BI1" s="952"/>
      <c r="BJ1" s="952"/>
      <c r="BK1" s="952"/>
      <c r="BL1" s="952"/>
      <c r="BM1" s="952"/>
    </row>
    <row r="2" spans="1:65" s="88" customFormat="1" ht="12" customHeight="1">
      <c r="A2" s="328"/>
      <c r="B2" s="1135"/>
      <c r="C2" s="329"/>
      <c r="D2" s="329"/>
      <c r="E2" s="330"/>
      <c r="F2" s="330"/>
      <c r="G2" s="292" t="str">
        <f>Input!H2</f>
        <v>Site Address:</v>
      </c>
      <c r="H2" s="340" t="str">
        <f>site_address</f>
        <v>1234, Olympia, WA 98501</v>
      </c>
      <c r="I2" s="330"/>
      <c r="J2" s="330"/>
      <c r="K2" s="330"/>
      <c r="L2" s="330"/>
      <c r="M2" s="327"/>
      <c r="N2" s="948"/>
      <c r="O2" s="948"/>
      <c r="P2" s="949"/>
      <c r="Q2" s="949"/>
      <c r="R2" s="949"/>
      <c r="S2" s="949"/>
      <c r="T2" s="949"/>
      <c r="U2" s="949"/>
      <c r="V2" s="950"/>
      <c r="W2" s="950"/>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2"/>
      <c r="BH2" s="952"/>
      <c r="BI2" s="952"/>
      <c r="BJ2" s="952"/>
      <c r="BK2" s="952"/>
      <c r="BL2" s="952"/>
      <c r="BM2" s="952"/>
    </row>
    <row r="3" spans="1:65" s="88" customFormat="1" ht="12" customHeight="1" thickBot="1">
      <c r="A3" s="331"/>
      <c r="B3" s="332" t="str">
        <f>"Source Release Time is "&amp;t&amp;" years."</f>
        <v>Source Release Time is 5 years.</v>
      </c>
      <c r="C3" s="333"/>
      <c r="D3" s="332"/>
      <c r="E3" s="334"/>
      <c r="F3" s="334"/>
      <c r="G3" s="293" t="str">
        <f>Input!B19</f>
        <v>Hazardous Substance:</v>
      </c>
      <c r="H3" s="341" t="str">
        <f>Input!E19</f>
        <v>Benzene</v>
      </c>
      <c r="I3" s="334"/>
      <c r="J3" s="334"/>
      <c r="K3" s="334"/>
      <c r="L3" s="334"/>
      <c r="M3" s="327"/>
      <c r="N3" s="948"/>
      <c r="O3" s="948"/>
      <c r="P3" s="949"/>
      <c r="Q3" s="949"/>
      <c r="R3" s="949"/>
      <c r="S3" s="949"/>
      <c r="T3" s="949"/>
      <c r="U3" s="949"/>
      <c r="V3" s="950"/>
      <c r="W3" s="950"/>
      <c r="X3" s="951"/>
      <c r="Y3" s="951"/>
      <c r="Z3" s="951"/>
      <c r="AA3" s="951"/>
      <c r="AB3" s="951"/>
      <c r="AC3" s="951"/>
      <c r="AD3" s="951"/>
      <c r="AE3" s="951"/>
      <c r="AF3" s="951"/>
      <c r="AG3" s="951"/>
      <c r="AH3" s="951"/>
      <c r="AI3" s="951"/>
      <c r="AJ3" s="951"/>
      <c r="AK3" s="951"/>
      <c r="AL3" s="951"/>
      <c r="AM3" s="951"/>
      <c r="AN3" s="951"/>
      <c r="AO3" s="951"/>
      <c r="AP3" s="951"/>
      <c r="AQ3" s="951"/>
      <c r="AR3" s="951"/>
      <c r="AS3" s="951"/>
      <c r="AT3" s="951"/>
      <c r="AU3" s="951"/>
      <c r="AV3" s="951"/>
      <c r="AW3" s="951"/>
      <c r="AX3" s="951"/>
      <c r="AY3" s="951"/>
      <c r="AZ3" s="951"/>
      <c r="BA3" s="951"/>
      <c r="BB3" s="951"/>
      <c r="BC3" s="951"/>
      <c r="BD3" s="951"/>
      <c r="BE3" s="951"/>
      <c r="BF3" s="951"/>
      <c r="BG3" s="952"/>
      <c r="BH3" s="952"/>
      <c r="BI3" s="952"/>
      <c r="BJ3" s="952"/>
      <c r="BK3" s="952"/>
      <c r="BL3" s="952"/>
      <c r="BM3" s="952"/>
    </row>
    <row r="4" spans="1:65" s="88" customFormat="1" ht="5.25" customHeight="1" thickTop="1">
      <c r="A4" s="335"/>
      <c r="B4" s="336"/>
      <c r="C4" s="337"/>
      <c r="D4" s="337"/>
      <c r="E4" s="338"/>
      <c r="F4" s="339"/>
      <c r="G4" s="338"/>
      <c r="H4" s="338"/>
      <c r="I4" s="338"/>
      <c r="J4" s="338"/>
      <c r="K4" s="338"/>
      <c r="L4" s="338"/>
      <c r="M4" s="327"/>
      <c r="N4" s="948"/>
      <c r="O4" s="948"/>
      <c r="P4" s="949"/>
      <c r="Q4" s="949"/>
      <c r="R4" s="949"/>
      <c r="S4" s="949"/>
      <c r="T4" s="949"/>
      <c r="U4" s="949"/>
      <c r="V4" s="950"/>
      <c r="W4" s="950"/>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1"/>
      <c r="BE4" s="951"/>
      <c r="BF4" s="951"/>
      <c r="BG4" s="952"/>
      <c r="BH4" s="952"/>
      <c r="BI4" s="952"/>
      <c r="BJ4" s="952"/>
      <c r="BK4" s="952"/>
      <c r="BL4" s="952"/>
      <c r="BM4" s="952"/>
    </row>
    <row r="5" spans="1:13" ht="1.5" customHeight="1">
      <c r="A5" s="268"/>
      <c r="B5" s="268"/>
      <c r="C5" s="270"/>
      <c r="D5" s="270"/>
      <c r="E5" s="297"/>
      <c r="F5" s="300"/>
      <c r="G5" s="297"/>
      <c r="H5" s="297"/>
      <c r="I5" s="297"/>
      <c r="J5" s="297"/>
      <c r="K5" s="297"/>
      <c r="L5" s="297"/>
      <c r="M5" s="296"/>
    </row>
    <row r="6" spans="1:13" ht="4.5" customHeight="1" thickBot="1">
      <c r="A6" s="301"/>
      <c r="B6" s="302"/>
      <c r="C6" s="270"/>
      <c r="D6" s="270"/>
      <c r="E6" s="297"/>
      <c r="F6" s="300"/>
      <c r="G6" s="297"/>
      <c r="H6" s="297"/>
      <c r="I6" s="297"/>
      <c r="J6" s="297"/>
      <c r="K6" s="297"/>
      <c r="L6" s="297"/>
      <c r="M6" s="296"/>
    </row>
    <row r="7" spans="1:13" ht="14.25" customHeight="1">
      <c r="A7" s="303" t="s">
        <v>487</v>
      </c>
      <c r="B7" s="604" t="str">
        <f>B154</f>
        <v>MW-1</v>
      </c>
      <c r="C7" s="605" t="str">
        <f aca="true" t="shared" si="0" ref="C7:L7">C154</f>
        <v>MW-2</v>
      </c>
      <c r="D7" s="605" t="str">
        <f t="shared" si="0"/>
        <v>MW-3</v>
      </c>
      <c r="E7" s="605" t="str">
        <f t="shared" si="0"/>
        <v>MW-4</v>
      </c>
      <c r="F7" s="605" t="str">
        <f t="shared" si="0"/>
        <v>MW-5</v>
      </c>
      <c r="G7" s="605">
        <f t="shared" si="0"/>
      </c>
      <c r="H7" s="605">
        <f t="shared" si="0"/>
      </c>
      <c r="I7" s="605">
        <f t="shared" si="0"/>
      </c>
      <c r="J7" s="605">
        <f t="shared" si="0"/>
      </c>
      <c r="K7" s="605">
        <f t="shared" si="0"/>
      </c>
      <c r="L7" s="606">
        <f t="shared" si="0"/>
      </c>
      <c r="M7" s="296"/>
    </row>
    <row r="8" spans="1:47" ht="15" customHeight="1" thickBot="1">
      <c r="A8" s="304" t="s">
        <v>553</v>
      </c>
      <c r="B8" s="601" t="str">
        <f>IF(ISBLANK(Input!J25),""," "&amp;B155&amp;", "&amp;B152&amp;" ")</f>
        <v> 0, 0 </v>
      </c>
      <c r="C8" s="602" t="str">
        <f>IF(ISBLANK(Input!K25),""," "&amp;C155&amp;", "&amp;C152&amp;" ")</f>
        <v> 63, 10 </v>
      </c>
      <c r="D8" s="602" t="str">
        <f>IF(ISBLANK(Input!L25),""," "&amp;D155&amp;", "&amp;D152&amp;" ")</f>
        <v> 130, 12 </v>
      </c>
      <c r="E8" s="602" t="str">
        <f>IF(ISBLANK(Input!M25),""," "&amp;E155&amp;", "&amp;E152&amp;" ")</f>
        <v> 192, 56 </v>
      </c>
      <c r="F8" s="602" t="str">
        <f>IF(ISBLANK(Input!N25),""," "&amp;F155&amp;", "&amp;F152&amp;" ")</f>
        <v> 288, 10 </v>
      </c>
      <c r="G8" s="602">
        <f>IF(ISBLANK(Input!O25),""," "&amp;G155&amp;", "&amp;G152&amp;" ")</f>
      </c>
      <c r="H8" s="602">
        <f>IF(ISBLANK(Input!P25),""," "&amp;H155&amp;", "&amp;H152&amp;" ")</f>
      </c>
      <c r="I8" s="602">
        <f>IF(ISBLANK(Input!Q25),""," "&amp;I155&amp;", "&amp;I152&amp;" ")</f>
      </c>
      <c r="J8" s="602">
        <f>IF(ISBLANK(Input!R25),""," "&amp;J155&amp;", "&amp;J152&amp;" ")</f>
      </c>
      <c r="K8" s="602">
        <f>IF(ISBLANK(Input!S25),""," "&amp;K155&amp;", "&amp;K152&amp;" ")</f>
      </c>
      <c r="L8" s="603">
        <f>IF(ISBLANK(Input!T25),""," "&amp;L155&amp;", "&amp;L152&amp;" ")</f>
      </c>
      <c r="M8" s="305"/>
      <c r="N8" s="955"/>
      <c r="O8" s="955"/>
      <c r="P8" s="955"/>
      <c r="Q8" s="955"/>
      <c r="R8" s="955"/>
      <c r="S8" s="955"/>
      <c r="T8" s="955"/>
      <c r="U8" s="955"/>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row>
    <row r="9" spans="1:47" ht="18.75" thickBot="1">
      <c r="A9" s="306" t="s">
        <v>406</v>
      </c>
      <c r="B9" s="307" t="s">
        <v>616</v>
      </c>
      <c r="C9" s="308"/>
      <c r="D9" s="308"/>
      <c r="E9" s="308"/>
      <c r="F9" s="308"/>
      <c r="G9" s="308"/>
      <c r="H9" s="308"/>
      <c r="I9" s="308"/>
      <c r="J9" s="308"/>
      <c r="K9" s="308"/>
      <c r="L9" s="308"/>
      <c r="M9" s="268"/>
      <c r="N9" s="959"/>
      <c r="O9" s="960"/>
      <c r="P9" s="960"/>
      <c r="Q9" s="960"/>
      <c r="R9" s="960"/>
      <c r="S9" s="960"/>
      <c r="T9" s="960"/>
      <c r="U9" s="960"/>
      <c r="V9" s="961"/>
      <c r="W9" s="958"/>
      <c r="X9" s="958"/>
      <c r="Y9" s="958"/>
      <c r="Z9" s="962"/>
      <c r="AA9" s="961"/>
      <c r="AB9" s="961"/>
      <c r="AC9" s="961"/>
      <c r="AD9" s="958"/>
      <c r="AE9" s="958"/>
      <c r="AF9" s="958"/>
      <c r="AG9" s="958"/>
      <c r="AH9" s="958"/>
      <c r="AI9" s="958"/>
      <c r="AJ9" s="958"/>
      <c r="AK9" s="958"/>
      <c r="AL9" s="958"/>
      <c r="AM9" s="958"/>
      <c r="AN9" s="958"/>
      <c r="AO9" s="958"/>
      <c r="AP9" s="958"/>
      <c r="AQ9" s="958"/>
      <c r="AR9" s="958"/>
      <c r="AS9" s="958"/>
      <c r="AT9" s="958"/>
      <c r="AU9" s="958"/>
    </row>
    <row r="10" spans="1:47" ht="15.75" thickTop="1">
      <c r="A10" s="309" t="s">
        <v>114</v>
      </c>
      <c r="B10" s="595">
        <f>B156</f>
        <v>6250.267520447139</v>
      </c>
      <c r="C10" s="596">
        <f aca="true" t="shared" si="1" ref="C10:L10">C156</f>
        <v>6742.240971934068</v>
      </c>
      <c r="D10" s="596">
        <f t="shared" si="1"/>
        <v>7010.413947904706</v>
      </c>
      <c r="E10" s="596">
        <f t="shared" si="1"/>
        <v>4035.8041381900457</v>
      </c>
      <c r="F10" s="596">
        <f t="shared" si="1"/>
        <v>3840.0641682027817</v>
      </c>
      <c r="G10" s="596">
        <f t="shared" si="1"/>
      </c>
      <c r="H10" s="596">
        <f t="shared" si="1"/>
      </c>
      <c r="I10" s="596">
        <f t="shared" si="1"/>
      </c>
      <c r="J10" s="596">
        <f t="shared" si="1"/>
      </c>
      <c r="K10" s="596">
        <f t="shared" si="1"/>
      </c>
      <c r="L10" s="597">
        <f t="shared" si="1"/>
      </c>
      <c r="M10" s="268"/>
      <c r="N10" s="963"/>
      <c r="O10" s="960"/>
      <c r="P10" s="960"/>
      <c r="Q10" s="960"/>
      <c r="R10" s="960"/>
      <c r="S10" s="960"/>
      <c r="T10" s="960"/>
      <c r="U10" s="960"/>
      <c r="V10" s="961"/>
      <c r="W10" s="958"/>
      <c r="X10" s="958"/>
      <c r="Y10" s="958"/>
      <c r="Z10" s="961"/>
      <c r="AA10" s="964"/>
      <c r="AB10" s="964"/>
      <c r="AC10" s="964"/>
      <c r="AD10" s="964"/>
      <c r="AE10" s="964"/>
      <c r="AF10" s="964"/>
      <c r="AG10" s="964"/>
      <c r="AH10" s="964"/>
      <c r="AI10" s="964"/>
      <c r="AJ10" s="964"/>
      <c r="AK10" s="964"/>
      <c r="AL10" s="964"/>
      <c r="AM10" s="964"/>
      <c r="AN10" s="964"/>
      <c r="AO10" s="964"/>
      <c r="AP10" s="964"/>
      <c r="AQ10" s="964"/>
      <c r="AR10" s="964"/>
      <c r="AS10" s="964"/>
      <c r="AT10" s="964"/>
      <c r="AU10" s="964"/>
    </row>
    <row r="11" spans="1:47" ht="18">
      <c r="A11" s="310" t="s">
        <v>115</v>
      </c>
      <c r="B11" s="598">
        <f>B157</f>
        <v>6250.267520447139</v>
      </c>
      <c r="C11" s="599">
        <f aca="true" t="shared" si="2" ref="C11:L11">C157</f>
        <v>2806.2794325871914</v>
      </c>
      <c r="D11" s="599">
        <f t="shared" si="2"/>
        <v>1183.8500003042566</v>
      </c>
      <c r="E11" s="599">
        <f t="shared" si="2"/>
        <v>322.0675547713727</v>
      </c>
      <c r="F11" s="599">
        <f t="shared" si="2"/>
        <v>129.80814196104893</v>
      </c>
      <c r="G11" s="599">
        <f t="shared" si="2"/>
      </c>
      <c r="H11" s="599">
        <f t="shared" si="2"/>
      </c>
      <c r="I11" s="599">
        <f t="shared" si="2"/>
      </c>
      <c r="J11" s="599">
        <f t="shared" si="2"/>
      </c>
      <c r="K11" s="599">
        <f t="shared" si="2"/>
      </c>
      <c r="L11" s="600">
        <f t="shared" si="2"/>
      </c>
      <c r="M11" s="268"/>
      <c r="N11" s="965"/>
      <c r="O11" s="960"/>
      <c r="P11" s="960"/>
      <c r="Q11" s="960"/>
      <c r="R11" s="960"/>
      <c r="S11" s="960"/>
      <c r="T11" s="960"/>
      <c r="U11" s="960"/>
      <c r="V11" s="961"/>
      <c r="W11" s="958"/>
      <c r="X11" s="958"/>
      <c r="Y11" s="958"/>
      <c r="Z11" s="966"/>
      <c r="AA11" s="967"/>
      <c r="AB11" s="967"/>
      <c r="AC11" s="967"/>
      <c r="AD11" s="967"/>
      <c r="AE11" s="967"/>
      <c r="AF11" s="967"/>
      <c r="AG11" s="967"/>
      <c r="AH11" s="967"/>
      <c r="AI11" s="967"/>
      <c r="AJ11" s="967"/>
      <c r="AK11" s="967"/>
      <c r="AL11" s="967"/>
      <c r="AM11" s="967"/>
      <c r="AN11" s="967"/>
      <c r="AO11" s="967"/>
      <c r="AP11" s="967"/>
      <c r="AQ11" s="967"/>
      <c r="AR11" s="967"/>
      <c r="AS11" s="967"/>
      <c r="AT11" s="967"/>
      <c r="AU11" s="967"/>
    </row>
    <row r="12" spans="1:47" ht="18">
      <c r="A12" s="311" t="s">
        <v>116</v>
      </c>
      <c r="B12" s="598">
        <f>B158</f>
        <v>0</v>
      </c>
      <c r="C12" s="599">
        <f aca="true" t="shared" si="3" ref="C12:L12">C158</f>
        <v>1158.955556585709</v>
      </c>
      <c r="D12" s="599">
        <f t="shared" si="3"/>
        <v>2558.859639731628</v>
      </c>
      <c r="E12" s="599">
        <f t="shared" si="3"/>
        <v>765.0306919888326</v>
      </c>
      <c r="F12" s="599">
        <f t="shared" si="3"/>
        <v>0</v>
      </c>
      <c r="G12" s="599">
        <f t="shared" si="3"/>
      </c>
      <c r="H12" s="599">
        <f t="shared" si="3"/>
      </c>
      <c r="I12" s="599">
        <f t="shared" si="3"/>
      </c>
      <c r="J12" s="599">
        <f t="shared" si="3"/>
      </c>
      <c r="K12" s="599">
        <f t="shared" si="3"/>
      </c>
      <c r="L12" s="600">
        <f t="shared" si="3"/>
      </c>
      <c r="M12" s="268"/>
      <c r="N12" s="968"/>
      <c r="O12" s="960"/>
      <c r="P12" s="960"/>
      <c r="Q12" s="960"/>
      <c r="R12" s="960"/>
      <c r="S12" s="960"/>
      <c r="T12" s="960"/>
      <c r="U12" s="960"/>
      <c r="V12" s="961"/>
      <c r="W12" s="958"/>
      <c r="X12" s="958"/>
      <c r="Y12" s="958"/>
      <c r="Z12" s="969"/>
      <c r="AA12" s="970"/>
      <c r="AB12" s="971"/>
      <c r="AC12" s="970"/>
      <c r="AD12" s="970"/>
      <c r="AE12" s="970"/>
      <c r="AF12" s="970"/>
      <c r="AG12" s="970"/>
      <c r="AH12" s="970"/>
      <c r="AI12" s="970"/>
      <c r="AJ12" s="970"/>
      <c r="AK12" s="970"/>
      <c r="AL12" s="970"/>
      <c r="AM12" s="970"/>
      <c r="AN12" s="970"/>
      <c r="AO12" s="970"/>
      <c r="AP12" s="970"/>
      <c r="AQ12" s="970"/>
      <c r="AR12" s="970"/>
      <c r="AS12" s="970"/>
      <c r="AT12" s="970"/>
      <c r="AU12" s="970"/>
    </row>
    <row r="13" spans="1:65" s="13" customFormat="1" ht="18.75" thickBot="1">
      <c r="A13" s="312" t="s">
        <v>117</v>
      </c>
      <c r="B13" s="601">
        <f>B159</f>
        <v>6500</v>
      </c>
      <c r="C13" s="602">
        <f aca="true" t="shared" si="4" ref="C13:L13">C159</f>
        <v>3600</v>
      </c>
      <c r="D13" s="602">
        <f t="shared" si="4"/>
        <v>1100</v>
      </c>
      <c r="E13" s="602">
        <f t="shared" si="4"/>
        <v>250</v>
      </c>
      <c r="F13" s="602">
        <f t="shared" si="4"/>
        <v>10</v>
      </c>
      <c r="G13" s="602">
        <f t="shared" si="4"/>
      </c>
      <c r="H13" s="602">
        <f t="shared" si="4"/>
      </c>
      <c r="I13" s="602">
        <f t="shared" si="4"/>
      </c>
      <c r="J13" s="602">
        <f t="shared" si="4"/>
      </c>
      <c r="K13" s="602">
        <f t="shared" si="4"/>
      </c>
      <c r="L13" s="603">
        <f t="shared" si="4"/>
      </c>
      <c r="M13" s="268"/>
      <c r="N13" s="972"/>
      <c r="O13" s="960"/>
      <c r="P13" s="960"/>
      <c r="Q13" s="960"/>
      <c r="R13" s="960"/>
      <c r="S13" s="960"/>
      <c r="T13" s="960"/>
      <c r="U13" s="960"/>
      <c r="V13" s="961"/>
      <c r="W13" s="958"/>
      <c r="X13" s="958"/>
      <c r="Y13" s="958"/>
      <c r="Z13" s="973"/>
      <c r="AA13" s="974"/>
      <c r="AB13" s="974"/>
      <c r="AC13" s="974"/>
      <c r="AD13" s="974"/>
      <c r="AE13" s="974"/>
      <c r="AF13" s="974"/>
      <c r="AG13" s="974"/>
      <c r="AH13" s="974"/>
      <c r="AI13" s="974"/>
      <c r="AJ13" s="974"/>
      <c r="AK13" s="974"/>
      <c r="AL13" s="974"/>
      <c r="AM13" s="974"/>
      <c r="AN13" s="974"/>
      <c r="AO13" s="974"/>
      <c r="AP13" s="974"/>
      <c r="AQ13" s="974"/>
      <c r="AR13" s="974"/>
      <c r="AS13" s="974"/>
      <c r="AT13" s="974"/>
      <c r="AU13" s="974"/>
      <c r="AV13" s="975"/>
      <c r="AW13" s="975"/>
      <c r="AX13" s="975"/>
      <c r="AY13" s="975"/>
      <c r="AZ13" s="975"/>
      <c r="BA13" s="975"/>
      <c r="BB13" s="975"/>
      <c r="BC13" s="975"/>
      <c r="BD13" s="975"/>
      <c r="BE13" s="975"/>
      <c r="BF13" s="975"/>
      <c r="BG13" s="976"/>
      <c r="BH13" s="976"/>
      <c r="BI13" s="976"/>
      <c r="BJ13" s="976"/>
      <c r="BK13" s="976"/>
      <c r="BL13" s="976"/>
      <c r="BM13" s="976"/>
    </row>
    <row r="14" spans="1:65" s="13" customFormat="1" ht="18.75" thickBot="1">
      <c r="A14" s="306" t="s">
        <v>406</v>
      </c>
      <c r="B14" s="307" t="s">
        <v>701</v>
      </c>
      <c r="C14" s="308"/>
      <c r="D14" s="308"/>
      <c r="E14" s="308"/>
      <c r="F14" s="308"/>
      <c r="G14" s="308"/>
      <c r="H14" s="308"/>
      <c r="I14" s="308"/>
      <c r="J14" s="308"/>
      <c r="K14" s="308"/>
      <c r="L14" s="308"/>
      <c r="M14" s="268"/>
      <c r="N14" s="972"/>
      <c r="O14" s="960"/>
      <c r="P14" s="960"/>
      <c r="Q14" s="960"/>
      <c r="R14" s="960"/>
      <c r="S14" s="960"/>
      <c r="T14" s="960"/>
      <c r="U14" s="960"/>
      <c r="V14" s="961"/>
      <c r="W14" s="958"/>
      <c r="X14" s="958"/>
      <c r="Y14" s="958"/>
      <c r="Z14" s="973"/>
      <c r="AA14" s="974"/>
      <c r="AB14" s="974"/>
      <c r="AC14" s="974"/>
      <c r="AD14" s="974"/>
      <c r="AE14" s="974"/>
      <c r="AF14" s="974"/>
      <c r="AG14" s="974"/>
      <c r="AH14" s="974"/>
      <c r="AI14" s="974"/>
      <c r="AJ14" s="974"/>
      <c r="AK14" s="974"/>
      <c r="AL14" s="974"/>
      <c r="AM14" s="974"/>
      <c r="AN14" s="974"/>
      <c r="AO14" s="974"/>
      <c r="AP14" s="974"/>
      <c r="AQ14" s="974"/>
      <c r="AR14" s="974"/>
      <c r="AS14" s="974"/>
      <c r="AT14" s="974"/>
      <c r="AU14" s="974"/>
      <c r="AV14" s="975"/>
      <c r="AW14" s="975"/>
      <c r="AX14" s="975"/>
      <c r="AY14" s="975"/>
      <c r="AZ14" s="975"/>
      <c r="BA14" s="975"/>
      <c r="BB14" s="975"/>
      <c r="BC14" s="975"/>
      <c r="BD14" s="975"/>
      <c r="BE14" s="975"/>
      <c r="BF14" s="975"/>
      <c r="BG14" s="976"/>
      <c r="BH14" s="976"/>
      <c r="BI14" s="976"/>
      <c r="BJ14" s="976"/>
      <c r="BK14" s="976"/>
      <c r="BL14" s="976"/>
      <c r="BM14" s="976"/>
    </row>
    <row r="15" spans="1:65" s="13" customFormat="1" ht="18.75" thickTop="1">
      <c r="A15" s="309" t="s">
        <v>114</v>
      </c>
      <c r="B15" s="313">
        <f>IF(ISERROR(B174),"",B174)</f>
        <v>1</v>
      </c>
      <c r="C15" s="314">
        <f aca="true" t="shared" si="5" ref="C15:L15">IF(ISERROR(C174),"",C174)</f>
        <v>1.0787123830904015</v>
      </c>
      <c r="D15" s="314">
        <f t="shared" si="5"/>
        <v>1.1216182227353986</v>
      </c>
      <c r="E15" s="314">
        <f t="shared" si="5"/>
        <v>0.6457010239941422</v>
      </c>
      <c r="F15" s="314">
        <f t="shared" si="5"/>
        <v>0.6143839692685773</v>
      </c>
      <c r="G15" s="314">
        <f t="shared" si="5"/>
      </c>
      <c r="H15" s="314">
        <f t="shared" si="5"/>
      </c>
      <c r="I15" s="314">
        <f t="shared" si="5"/>
      </c>
      <c r="J15" s="314">
        <f t="shared" si="5"/>
      </c>
      <c r="K15" s="314">
        <f t="shared" si="5"/>
      </c>
      <c r="L15" s="315">
        <f t="shared" si="5"/>
      </c>
      <c r="M15" s="268"/>
      <c r="N15" s="972"/>
      <c r="O15" s="960"/>
      <c r="P15" s="960"/>
      <c r="Q15" s="960"/>
      <c r="R15" s="960"/>
      <c r="S15" s="960"/>
      <c r="T15" s="960"/>
      <c r="U15" s="960"/>
      <c r="V15" s="961"/>
      <c r="W15" s="958"/>
      <c r="X15" s="958"/>
      <c r="Y15" s="958"/>
      <c r="Z15" s="973"/>
      <c r="AA15" s="974"/>
      <c r="AB15" s="974"/>
      <c r="AC15" s="974"/>
      <c r="AD15" s="974"/>
      <c r="AE15" s="974"/>
      <c r="AF15" s="974"/>
      <c r="AG15" s="974"/>
      <c r="AH15" s="974"/>
      <c r="AI15" s="974"/>
      <c r="AJ15" s="974"/>
      <c r="AK15" s="974"/>
      <c r="AL15" s="974"/>
      <c r="AM15" s="974"/>
      <c r="AN15" s="974"/>
      <c r="AO15" s="974"/>
      <c r="AP15" s="974"/>
      <c r="AQ15" s="974"/>
      <c r="AR15" s="974"/>
      <c r="AS15" s="974"/>
      <c r="AT15" s="974"/>
      <c r="AU15" s="974"/>
      <c r="AV15" s="975"/>
      <c r="AW15" s="975"/>
      <c r="AX15" s="975"/>
      <c r="AY15" s="975"/>
      <c r="AZ15" s="975"/>
      <c r="BA15" s="975"/>
      <c r="BB15" s="975"/>
      <c r="BC15" s="975"/>
      <c r="BD15" s="975"/>
      <c r="BE15" s="975"/>
      <c r="BF15" s="975"/>
      <c r="BG15" s="976"/>
      <c r="BH15" s="976"/>
      <c r="BI15" s="976"/>
      <c r="BJ15" s="976"/>
      <c r="BK15" s="976"/>
      <c r="BL15" s="976"/>
      <c r="BM15" s="976"/>
    </row>
    <row r="16" spans="1:65" s="13" customFormat="1" ht="17.25">
      <c r="A16" s="310" t="s">
        <v>115</v>
      </c>
      <c r="B16" s="316">
        <f aca="true" t="shared" si="6" ref="B16:L18">IF(ISERROR(B175),"",B175)</f>
        <v>1</v>
      </c>
      <c r="C16" s="317">
        <f t="shared" si="6"/>
        <v>0.44898549116605374</v>
      </c>
      <c r="D16" s="317">
        <f t="shared" si="6"/>
        <v>0.18940789277121453</v>
      </c>
      <c r="E16" s="317">
        <f t="shared" si="6"/>
        <v>0.051528603170625936</v>
      </c>
      <c r="F16" s="317">
        <f t="shared" si="6"/>
        <v>0.020768413757714255</v>
      </c>
      <c r="G16" s="317">
        <f t="shared" si="6"/>
      </c>
      <c r="H16" s="317">
        <f t="shared" si="6"/>
      </c>
      <c r="I16" s="317">
        <f t="shared" si="6"/>
      </c>
      <c r="J16" s="317">
        <f t="shared" si="6"/>
      </c>
      <c r="K16" s="317">
        <f t="shared" si="6"/>
      </c>
      <c r="L16" s="318">
        <f t="shared" si="6"/>
      </c>
      <c r="M16" s="268"/>
      <c r="N16" s="972"/>
      <c r="O16" s="960"/>
      <c r="P16" s="960"/>
      <c r="Q16" s="960"/>
      <c r="R16" s="960"/>
      <c r="S16" s="960"/>
      <c r="T16" s="960"/>
      <c r="U16" s="960"/>
      <c r="V16" s="961"/>
      <c r="W16" s="958"/>
      <c r="X16" s="958"/>
      <c r="Y16" s="958"/>
      <c r="Z16" s="973"/>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5"/>
      <c r="AW16" s="975"/>
      <c r="AX16" s="975"/>
      <c r="AY16" s="975"/>
      <c r="AZ16" s="975"/>
      <c r="BA16" s="975"/>
      <c r="BB16" s="975"/>
      <c r="BC16" s="975"/>
      <c r="BD16" s="975"/>
      <c r="BE16" s="975"/>
      <c r="BF16" s="975"/>
      <c r="BG16" s="976"/>
      <c r="BH16" s="976"/>
      <c r="BI16" s="976"/>
      <c r="BJ16" s="976"/>
      <c r="BK16" s="976"/>
      <c r="BL16" s="976"/>
      <c r="BM16" s="976"/>
    </row>
    <row r="17" spans="1:65" s="13" customFormat="1" ht="17.25">
      <c r="A17" s="311" t="s">
        <v>116</v>
      </c>
      <c r="B17" s="316">
        <f t="shared" si="6"/>
        <v>1</v>
      </c>
      <c r="C17" s="317">
        <f t="shared" si="6"/>
        <v>1158.955556585709</v>
      </c>
      <c r="D17" s="317">
        <f t="shared" si="6"/>
        <v>2558.859639731628</v>
      </c>
      <c r="E17" s="317">
        <f t="shared" si="6"/>
        <v>765.0306919888326</v>
      </c>
      <c r="F17" s="317">
        <f t="shared" si="6"/>
        <v>1</v>
      </c>
      <c r="G17" s="317">
        <f t="shared" si="6"/>
      </c>
      <c r="H17" s="317">
        <f t="shared" si="6"/>
      </c>
      <c r="I17" s="317">
        <f t="shared" si="6"/>
      </c>
      <c r="J17" s="317">
        <f t="shared" si="6"/>
      </c>
      <c r="K17" s="317">
        <f t="shared" si="6"/>
      </c>
      <c r="L17" s="318">
        <f t="shared" si="6"/>
      </c>
      <c r="M17" s="268"/>
      <c r="N17" s="972"/>
      <c r="O17" s="960"/>
      <c r="P17" s="960"/>
      <c r="Q17" s="960"/>
      <c r="R17" s="960"/>
      <c r="S17" s="960"/>
      <c r="T17" s="960"/>
      <c r="U17" s="960"/>
      <c r="V17" s="961"/>
      <c r="W17" s="958"/>
      <c r="X17" s="958"/>
      <c r="Y17" s="958"/>
      <c r="Z17" s="973"/>
      <c r="AA17" s="974"/>
      <c r="AB17" s="974"/>
      <c r="AC17" s="974"/>
      <c r="AD17" s="974"/>
      <c r="AE17" s="974"/>
      <c r="AF17" s="974"/>
      <c r="AG17" s="974"/>
      <c r="AH17" s="974"/>
      <c r="AI17" s="974"/>
      <c r="AJ17" s="974"/>
      <c r="AK17" s="974"/>
      <c r="AL17" s="974"/>
      <c r="AM17" s="974"/>
      <c r="AN17" s="974"/>
      <c r="AO17" s="974"/>
      <c r="AP17" s="974"/>
      <c r="AQ17" s="974"/>
      <c r="AR17" s="974"/>
      <c r="AS17" s="974"/>
      <c r="AT17" s="974"/>
      <c r="AU17" s="974"/>
      <c r="AV17" s="975"/>
      <c r="AW17" s="975"/>
      <c r="AX17" s="975"/>
      <c r="AY17" s="975"/>
      <c r="AZ17" s="975"/>
      <c r="BA17" s="975"/>
      <c r="BB17" s="975"/>
      <c r="BC17" s="975"/>
      <c r="BD17" s="975"/>
      <c r="BE17" s="975"/>
      <c r="BF17" s="975"/>
      <c r="BG17" s="976"/>
      <c r="BH17" s="976"/>
      <c r="BI17" s="976"/>
      <c r="BJ17" s="976"/>
      <c r="BK17" s="976"/>
      <c r="BL17" s="976"/>
      <c r="BM17" s="976"/>
    </row>
    <row r="18" spans="1:65" s="13" customFormat="1" ht="18" thickBot="1">
      <c r="A18" s="312" t="s">
        <v>117</v>
      </c>
      <c r="B18" s="319">
        <f t="shared" si="6"/>
        <v>1</v>
      </c>
      <c r="C18" s="320">
        <f t="shared" si="6"/>
        <v>0.5538461538461539</v>
      </c>
      <c r="D18" s="320">
        <f t="shared" si="6"/>
        <v>0.16923076923076924</v>
      </c>
      <c r="E18" s="320">
        <f t="shared" si="6"/>
        <v>0.038461538461538464</v>
      </c>
      <c r="F18" s="320">
        <f t="shared" si="6"/>
        <v>0.0015384615384615385</v>
      </c>
      <c r="G18" s="320">
        <f t="shared" si="6"/>
      </c>
      <c r="H18" s="320">
        <f t="shared" si="6"/>
      </c>
      <c r="I18" s="320">
        <f t="shared" si="6"/>
      </c>
      <c r="J18" s="320">
        <f t="shared" si="6"/>
      </c>
      <c r="K18" s="320">
        <f t="shared" si="6"/>
      </c>
      <c r="L18" s="321">
        <f t="shared" si="6"/>
      </c>
      <c r="M18" s="268"/>
      <c r="N18" s="972"/>
      <c r="O18" s="960"/>
      <c r="P18" s="960"/>
      <c r="Q18" s="960"/>
      <c r="R18" s="960"/>
      <c r="S18" s="960"/>
      <c r="T18" s="960"/>
      <c r="U18" s="960"/>
      <c r="V18" s="961"/>
      <c r="W18" s="958"/>
      <c r="X18" s="958"/>
      <c r="Y18" s="958"/>
      <c r="Z18" s="973"/>
      <c r="AA18" s="974"/>
      <c r="AB18" s="974"/>
      <c r="AC18" s="974"/>
      <c r="AD18" s="974"/>
      <c r="AE18" s="974"/>
      <c r="AF18" s="974"/>
      <c r="AG18" s="974"/>
      <c r="AH18" s="974"/>
      <c r="AI18" s="974"/>
      <c r="AJ18" s="974"/>
      <c r="AK18" s="974"/>
      <c r="AL18" s="974"/>
      <c r="AM18" s="974"/>
      <c r="AN18" s="974"/>
      <c r="AO18" s="974"/>
      <c r="AP18" s="974"/>
      <c r="AQ18" s="974"/>
      <c r="AR18" s="974"/>
      <c r="AS18" s="974"/>
      <c r="AT18" s="974"/>
      <c r="AU18" s="974"/>
      <c r="AV18" s="975"/>
      <c r="AW18" s="975"/>
      <c r="AX18" s="975"/>
      <c r="AY18" s="975"/>
      <c r="AZ18" s="975"/>
      <c r="BA18" s="975"/>
      <c r="BB18" s="975"/>
      <c r="BC18" s="975"/>
      <c r="BD18" s="975"/>
      <c r="BE18" s="975"/>
      <c r="BF18" s="975"/>
      <c r="BG18" s="976"/>
      <c r="BH18" s="976"/>
      <c r="BI18" s="976"/>
      <c r="BJ18" s="976"/>
      <c r="BK18" s="976"/>
      <c r="BL18" s="976"/>
      <c r="BM18" s="976"/>
    </row>
    <row r="19" spans="1:65" s="13" customFormat="1" ht="3" customHeight="1" thickTop="1">
      <c r="A19" s="322"/>
      <c r="B19" s="323"/>
      <c r="C19" s="323"/>
      <c r="D19" s="323"/>
      <c r="E19" s="323"/>
      <c r="F19" s="323"/>
      <c r="G19" s="323"/>
      <c r="H19" s="323"/>
      <c r="I19" s="323"/>
      <c r="J19" s="323"/>
      <c r="K19" s="323"/>
      <c r="L19" s="323"/>
      <c r="M19" s="268"/>
      <c r="N19" s="972"/>
      <c r="O19" s="960"/>
      <c r="P19" s="960"/>
      <c r="Q19" s="960"/>
      <c r="R19" s="960"/>
      <c r="S19" s="960"/>
      <c r="T19" s="960"/>
      <c r="U19" s="960"/>
      <c r="V19" s="961"/>
      <c r="W19" s="958"/>
      <c r="X19" s="958"/>
      <c r="Y19" s="958"/>
      <c r="Z19" s="973"/>
      <c r="AA19" s="974"/>
      <c r="AB19" s="974"/>
      <c r="AC19" s="974"/>
      <c r="AD19" s="974"/>
      <c r="AE19" s="974"/>
      <c r="AF19" s="974"/>
      <c r="AG19" s="974"/>
      <c r="AH19" s="974"/>
      <c r="AI19" s="974"/>
      <c r="AJ19" s="974"/>
      <c r="AK19" s="974"/>
      <c r="AL19" s="974"/>
      <c r="AM19" s="974"/>
      <c r="AN19" s="974"/>
      <c r="AO19" s="974"/>
      <c r="AP19" s="974"/>
      <c r="AQ19" s="974"/>
      <c r="AR19" s="974"/>
      <c r="AS19" s="974"/>
      <c r="AT19" s="974"/>
      <c r="AU19" s="974"/>
      <c r="AV19" s="975"/>
      <c r="AW19" s="975"/>
      <c r="AX19" s="975"/>
      <c r="AY19" s="975"/>
      <c r="AZ19" s="975"/>
      <c r="BA19" s="975"/>
      <c r="BB19" s="975"/>
      <c r="BC19" s="975"/>
      <c r="BD19" s="975"/>
      <c r="BE19" s="975"/>
      <c r="BF19" s="975"/>
      <c r="BG19" s="976"/>
      <c r="BH19" s="976"/>
      <c r="BI19" s="976"/>
      <c r="BJ19" s="976"/>
      <c r="BK19" s="976"/>
      <c r="BL19" s="976"/>
      <c r="BM19" s="976"/>
    </row>
    <row r="20" spans="1:47" ht="11.25" customHeight="1">
      <c r="A20" s="268"/>
      <c r="B20" s="324"/>
      <c r="C20" s="324"/>
      <c r="D20" s="324"/>
      <c r="E20" s="324"/>
      <c r="F20" s="324"/>
      <c r="G20" s="324"/>
      <c r="H20" s="324"/>
      <c r="I20" s="324"/>
      <c r="J20" s="324"/>
      <c r="K20" s="324"/>
      <c r="L20" s="324"/>
      <c r="M20" s="268"/>
      <c r="N20" s="968"/>
      <c r="O20" s="960"/>
      <c r="P20" s="960"/>
      <c r="Q20" s="960"/>
      <c r="R20" s="960"/>
      <c r="S20" s="960"/>
      <c r="T20" s="960"/>
      <c r="U20" s="960"/>
      <c r="V20" s="961"/>
      <c r="W20" s="958"/>
      <c r="X20" s="958"/>
      <c r="Y20" s="958"/>
      <c r="Z20" s="977"/>
      <c r="AA20" s="978"/>
      <c r="AB20" s="978"/>
      <c r="AC20" s="978"/>
      <c r="AD20" s="978"/>
      <c r="AE20" s="978"/>
      <c r="AF20" s="978"/>
      <c r="AG20" s="978"/>
      <c r="AH20" s="978"/>
      <c r="AI20" s="978"/>
      <c r="AJ20" s="978"/>
      <c r="AK20" s="978"/>
      <c r="AL20" s="978"/>
      <c r="AM20" s="978"/>
      <c r="AN20" s="978"/>
      <c r="AO20" s="978"/>
      <c r="AP20" s="978"/>
      <c r="AQ20" s="978"/>
      <c r="AR20" s="978"/>
      <c r="AS20" s="978"/>
      <c r="AT20" s="978"/>
      <c r="AU20" s="978"/>
    </row>
    <row r="21" spans="1:47" ht="17.25">
      <c r="A21" s="268"/>
      <c r="B21" s="268"/>
      <c r="C21" s="268"/>
      <c r="D21" s="268"/>
      <c r="E21" s="268"/>
      <c r="F21" s="268"/>
      <c r="G21" s="268"/>
      <c r="H21" s="268"/>
      <c r="I21" s="268"/>
      <c r="J21" s="268"/>
      <c r="K21" s="268"/>
      <c r="L21" s="268"/>
      <c r="M21" s="268"/>
      <c r="N21" s="959"/>
      <c r="O21" s="960"/>
      <c r="P21" s="960"/>
      <c r="Q21" s="960"/>
      <c r="R21" s="960"/>
      <c r="S21" s="960"/>
      <c r="T21" s="960"/>
      <c r="U21" s="960"/>
      <c r="V21" s="961"/>
      <c r="W21" s="958"/>
      <c r="X21" s="961"/>
      <c r="Y21" s="961"/>
      <c r="Z21" s="969"/>
      <c r="AA21" s="970"/>
      <c r="AB21" s="970"/>
      <c r="AC21" s="970"/>
      <c r="AD21" s="970"/>
      <c r="AE21" s="970"/>
      <c r="AF21" s="970"/>
      <c r="AG21" s="970"/>
      <c r="AH21" s="970"/>
      <c r="AI21" s="970"/>
      <c r="AJ21" s="970"/>
      <c r="AK21" s="970"/>
      <c r="AL21" s="970"/>
      <c r="AM21" s="970"/>
      <c r="AN21" s="970"/>
      <c r="AO21" s="970"/>
      <c r="AP21" s="970"/>
      <c r="AQ21" s="970"/>
      <c r="AR21" s="970"/>
      <c r="AS21" s="970"/>
      <c r="AT21" s="970"/>
      <c r="AU21" s="970"/>
    </row>
    <row r="22" spans="1:65" s="13" customFormat="1" ht="17.25">
      <c r="A22" s="268"/>
      <c r="B22" s="268"/>
      <c r="C22" s="268"/>
      <c r="D22" s="268"/>
      <c r="E22" s="268"/>
      <c r="F22" s="268"/>
      <c r="G22" s="268"/>
      <c r="H22" s="268"/>
      <c r="I22" s="268"/>
      <c r="J22" s="268"/>
      <c r="K22" s="268"/>
      <c r="L22" s="268"/>
      <c r="M22" s="268"/>
      <c r="N22" s="960"/>
      <c r="O22" s="960"/>
      <c r="P22" s="960"/>
      <c r="Q22" s="960"/>
      <c r="R22" s="960"/>
      <c r="S22" s="960"/>
      <c r="T22" s="960"/>
      <c r="U22" s="960"/>
      <c r="V22" s="961"/>
      <c r="W22" s="958"/>
      <c r="X22" s="958"/>
      <c r="Y22" s="958"/>
      <c r="Z22" s="973"/>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5"/>
      <c r="AW22" s="975"/>
      <c r="AX22" s="975"/>
      <c r="AY22" s="975"/>
      <c r="AZ22" s="975"/>
      <c r="BA22" s="975"/>
      <c r="BB22" s="975"/>
      <c r="BC22" s="975"/>
      <c r="BD22" s="975"/>
      <c r="BE22" s="975"/>
      <c r="BF22" s="975"/>
      <c r="BG22" s="976"/>
      <c r="BH22" s="976"/>
      <c r="BI22" s="976"/>
      <c r="BJ22" s="976"/>
      <c r="BK22" s="976"/>
      <c r="BL22" s="976"/>
      <c r="BM22" s="976"/>
    </row>
    <row r="23" spans="1:47" ht="17.25">
      <c r="A23" s="268"/>
      <c r="B23" s="268"/>
      <c r="C23" s="268"/>
      <c r="D23" s="268"/>
      <c r="E23" s="268"/>
      <c r="F23" s="268"/>
      <c r="G23" s="268"/>
      <c r="H23" s="268"/>
      <c r="I23" s="268"/>
      <c r="J23" s="268"/>
      <c r="K23" s="268"/>
      <c r="L23" s="268"/>
      <c r="M23" s="268"/>
      <c r="N23" s="960"/>
      <c r="O23" s="960"/>
      <c r="P23" s="960"/>
      <c r="Q23" s="960"/>
      <c r="R23" s="960"/>
      <c r="S23" s="960"/>
      <c r="T23" s="960"/>
      <c r="U23" s="960"/>
      <c r="V23" s="961"/>
      <c r="W23" s="958"/>
      <c r="X23" s="958"/>
      <c r="Y23" s="958"/>
      <c r="Z23" s="977"/>
      <c r="AA23" s="978"/>
      <c r="AB23" s="978"/>
      <c r="AC23" s="978"/>
      <c r="AD23" s="978"/>
      <c r="AE23" s="978"/>
      <c r="AF23" s="978"/>
      <c r="AG23" s="978"/>
      <c r="AH23" s="978"/>
      <c r="AI23" s="978"/>
      <c r="AJ23" s="978"/>
      <c r="AK23" s="978"/>
      <c r="AL23" s="978"/>
      <c r="AM23" s="978"/>
      <c r="AN23" s="978"/>
      <c r="AO23" s="978"/>
      <c r="AP23" s="978"/>
      <c r="AQ23" s="978"/>
      <c r="AR23" s="978"/>
      <c r="AS23" s="978"/>
      <c r="AT23" s="978"/>
      <c r="AU23" s="978"/>
    </row>
    <row r="24" spans="1:47" ht="17.25">
      <c r="A24" s="268"/>
      <c r="B24" s="268"/>
      <c r="C24" s="268"/>
      <c r="D24" s="268"/>
      <c r="E24" s="268"/>
      <c r="F24" s="268"/>
      <c r="G24" s="268"/>
      <c r="H24" s="268"/>
      <c r="I24" s="268"/>
      <c r="J24" s="268"/>
      <c r="K24" s="268"/>
      <c r="L24" s="268"/>
      <c r="M24" s="268"/>
      <c r="N24" s="960"/>
      <c r="O24" s="960"/>
      <c r="P24" s="960"/>
      <c r="Q24" s="960"/>
      <c r="R24" s="960"/>
      <c r="S24" s="960"/>
      <c r="T24" s="960"/>
      <c r="U24" s="960"/>
      <c r="V24" s="961"/>
      <c r="W24" s="958"/>
      <c r="X24" s="958"/>
      <c r="Y24" s="958"/>
      <c r="Z24" s="969"/>
      <c r="AA24" s="970"/>
      <c r="AB24" s="970"/>
      <c r="AC24" s="970"/>
      <c r="AD24" s="970"/>
      <c r="AE24" s="970"/>
      <c r="AF24" s="970"/>
      <c r="AG24" s="970"/>
      <c r="AH24" s="970"/>
      <c r="AI24" s="970"/>
      <c r="AJ24" s="970"/>
      <c r="AK24" s="970"/>
      <c r="AL24" s="970"/>
      <c r="AM24" s="970"/>
      <c r="AN24" s="970"/>
      <c r="AO24" s="970"/>
      <c r="AP24" s="970"/>
      <c r="AQ24" s="970"/>
      <c r="AR24" s="970"/>
      <c r="AS24" s="970"/>
      <c r="AT24" s="970"/>
      <c r="AU24" s="970"/>
    </row>
    <row r="25" spans="1:47" ht="18" customHeight="1">
      <c r="A25" s="268"/>
      <c r="B25" s="268"/>
      <c r="C25" s="268"/>
      <c r="D25" s="268"/>
      <c r="E25" s="268"/>
      <c r="F25" s="268"/>
      <c r="G25" s="268"/>
      <c r="H25" s="268"/>
      <c r="I25" s="268"/>
      <c r="J25" s="268"/>
      <c r="K25" s="268"/>
      <c r="L25" s="268"/>
      <c r="M25" s="268"/>
      <c r="N25" s="960"/>
      <c r="O25" s="960"/>
      <c r="P25" s="960"/>
      <c r="Q25" s="960"/>
      <c r="R25" s="960"/>
      <c r="S25" s="960"/>
      <c r="T25" s="960"/>
      <c r="U25" s="960"/>
      <c r="V25" s="961"/>
      <c r="W25" s="958"/>
      <c r="X25" s="958"/>
      <c r="Y25" s="958"/>
      <c r="Z25" s="973"/>
      <c r="AA25" s="979"/>
      <c r="AB25" s="979"/>
      <c r="AC25" s="979"/>
      <c r="AD25" s="979"/>
      <c r="AE25" s="979"/>
      <c r="AF25" s="979"/>
      <c r="AG25" s="979"/>
      <c r="AH25" s="979"/>
      <c r="AI25" s="979"/>
      <c r="AJ25" s="979"/>
      <c r="AK25" s="979"/>
      <c r="AL25" s="979"/>
      <c r="AM25" s="979"/>
      <c r="AN25" s="979"/>
      <c r="AO25" s="979"/>
      <c r="AP25" s="979"/>
      <c r="AQ25" s="979"/>
      <c r="AR25" s="979"/>
      <c r="AS25" s="979"/>
      <c r="AT25" s="979"/>
      <c r="AU25" s="979"/>
    </row>
    <row r="26" spans="1:65" s="13" customFormat="1" ht="24.75" customHeight="1">
      <c r="A26" s="268"/>
      <c r="B26" s="268"/>
      <c r="C26" s="268"/>
      <c r="D26" s="268"/>
      <c r="E26" s="268"/>
      <c r="F26" s="268"/>
      <c r="G26" s="268"/>
      <c r="H26" s="268"/>
      <c r="I26" s="268"/>
      <c r="J26" s="268"/>
      <c r="K26" s="268"/>
      <c r="L26" s="268"/>
      <c r="M26" s="268"/>
      <c r="N26" s="960"/>
      <c r="O26" s="960"/>
      <c r="P26" s="960"/>
      <c r="Q26" s="960"/>
      <c r="R26" s="960"/>
      <c r="S26" s="960"/>
      <c r="T26" s="960"/>
      <c r="U26" s="960"/>
      <c r="V26" s="961"/>
      <c r="W26" s="958"/>
      <c r="X26" s="958"/>
      <c r="Y26" s="958"/>
      <c r="Z26" s="977"/>
      <c r="AA26" s="978"/>
      <c r="AB26" s="978"/>
      <c r="AC26" s="978"/>
      <c r="AD26" s="978"/>
      <c r="AE26" s="978"/>
      <c r="AF26" s="978"/>
      <c r="AG26" s="978"/>
      <c r="AH26" s="978"/>
      <c r="AI26" s="978"/>
      <c r="AJ26" s="978"/>
      <c r="AK26" s="978"/>
      <c r="AL26" s="978"/>
      <c r="AM26" s="978"/>
      <c r="AN26" s="978"/>
      <c r="AO26" s="978"/>
      <c r="AP26" s="978"/>
      <c r="AQ26" s="978"/>
      <c r="AR26" s="978"/>
      <c r="AS26" s="978"/>
      <c r="AT26" s="978"/>
      <c r="AU26" s="978"/>
      <c r="AV26" s="975"/>
      <c r="AW26" s="975"/>
      <c r="AX26" s="975"/>
      <c r="AY26" s="975"/>
      <c r="AZ26" s="975"/>
      <c r="BA26" s="975"/>
      <c r="BB26" s="975"/>
      <c r="BC26" s="975"/>
      <c r="BD26" s="975"/>
      <c r="BE26" s="975"/>
      <c r="BF26" s="975"/>
      <c r="BG26" s="976"/>
      <c r="BH26" s="976"/>
      <c r="BI26" s="976"/>
      <c r="BJ26" s="976"/>
      <c r="BK26" s="976"/>
      <c r="BL26" s="976"/>
      <c r="BM26" s="976"/>
    </row>
    <row r="27" spans="1:65" s="13" customFormat="1" ht="17.25">
      <c r="A27" s="268"/>
      <c r="B27" s="268"/>
      <c r="C27" s="268"/>
      <c r="D27" s="268"/>
      <c r="E27" s="268"/>
      <c r="F27" s="268"/>
      <c r="G27" s="268"/>
      <c r="H27" s="268"/>
      <c r="I27" s="268"/>
      <c r="J27" s="268"/>
      <c r="K27" s="268"/>
      <c r="L27" s="268"/>
      <c r="M27" s="268"/>
      <c r="N27" s="960"/>
      <c r="O27" s="960"/>
      <c r="P27" s="960"/>
      <c r="Q27" s="960"/>
      <c r="R27" s="960"/>
      <c r="S27" s="960"/>
      <c r="T27" s="960"/>
      <c r="U27" s="960"/>
      <c r="V27" s="961"/>
      <c r="W27" s="958"/>
      <c r="X27" s="958"/>
      <c r="Y27" s="958"/>
      <c r="Z27" s="969"/>
      <c r="AA27" s="970"/>
      <c r="AB27" s="970"/>
      <c r="AC27" s="970"/>
      <c r="AD27" s="970"/>
      <c r="AE27" s="970"/>
      <c r="AF27" s="970"/>
      <c r="AG27" s="970"/>
      <c r="AH27" s="970"/>
      <c r="AI27" s="970"/>
      <c r="AJ27" s="970"/>
      <c r="AK27" s="970"/>
      <c r="AL27" s="970"/>
      <c r="AM27" s="970"/>
      <c r="AN27" s="970"/>
      <c r="AO27" s="970"/>
      <c r="AP27" s="970"/>
      <c r="AQ27" s="970"/>
      <c r="AR27" s="970"/>
      <c r="AS27" s="970"/>
      <c r="AT27" s="970"/>
      <c r="AU27" s="970"/>
      <c r="AV27" s="975"/>
      <c r="AW27" s="975"/>
      <c r="AX27" s="975"/>
      <c r="AY27" s="975"/>
      <c r="AZ27" s="975"/>
      <c r="BA27" s="975"/>
      <c r="BB27" s="975"/>
      <c r="BC27" s="975"/>
      <c r="BD27" s="975"/>
      <c r="BE27" s="975"/>
      <c r="BF27" s="975"/>
      <c r="BG27" s="976"/>
      <c r="BH27" s="976"/>
      <c r="BI27" s="976"/>
      <c r="BJ27" s="976"/>
      <c r="BK27" s="976"/>
      <c r="BL27" s="976"/>
      <c r="BM27" s="976"/>
    </row>
    <row r="28" spans="1:65" s="13" customFormat="1" ht="17.25">
      <c r="A28" s="268"/>
      <c r="B28" s="268"/>
      <c r="C28" s="268"/>
      <c r="D28" s="268"/>
      <c r="E28" s="268"/>
      <c r="F28" s="268"/>
      <c r="G28" s="268"/>
      <c r="H28" s="268"/>
      <c r="I28" s="268"/>
      <c r="J28" s="268"/>
      <c r="K28" s="268"/>
      <c r="L28" s="268"/>
      <c r="M28" s="268"/>
      <c r="N28" s="960"/>
      <c r="O28" s="960"/>
      <c r="P28" s="960"/>
      <c r="Q28" s="960"/>
      <c r="R28" s="960"/>
      <c r="S28" s="960"/>
      <c r="T28" s="960"/>
      <c r="U28" s="960"/>
      <c r="V28" s="961"/>
      <c r="W28" s="958"/>
      <c r="X28" s="958"/>
      <c r="Y28" s="958"/>
      <c r="Z28" s="973"/>
      <c r="AA28" s="979"/>
      <c r="AB28" s="979"/>
      <c r="AC28" s="979"/>
      <c r="AD28" s="979"/>
      <c r="AE28" s="979"/>
      <c r="AF28" s="979"/>
      <c r="AG28" s="979"/>
      <c r="AH28" s="979"/>
      <c r="AI28" s="979"/>
      <c r="AJ28" s="979"/>
      <c r="AK28" s="979"/>
      <c r="AL28" s="979"/>
      <c r="AM28" s="979"/>
      <c r="AN28" s="979"/>
      <c r="AO28" s="979"/>
      <c r="AP28" s="979"/>
      <c r="AQ28" s="979"/>
      <c r="AR28" s="979"/>
      <c r="AS28" s="979"/>
      <c r="AT28" s="979"/>
      <c r="AU28" s="979"/>
      <c r="AV28" s="975"/>
      <c r="AW28" s="975"/>
      <c r="AX28" s="975"/>
      <c r="AY28" s="975"/>
      <c r="AZ28" s="975"/>
      <c r="BA28" s="975"/>
      <c r="BB28" s="975"/>
      <c r="BC28" s="975"/>
      <c r="BD28" s="975"/>
      <c r="BE28" s="975"/>
      <c r="BF28" s="975"/>
      <c r="BG28" s="976"/>
      <c r="BH28" s="976"/>
      <c r="BI28" s="976"/>
      <c r="BJ28" s="976"/>
      <c r="BK28" s="976"/>
      <c r="BL28" s="976"/>
      <c r="BM28" s="976"/>
    </row>
    <row r="29" spans="1:47" ht="17.25">
      <c r="A29" s="268"/>
      <c r="B29" s="268"/>
      <c r="C29" s="268"/>
      <c r="D29" s="268"/>
      <c r="E29" s="268"/>
      <c r="F29" s="268"/>
      <c r="G29" s="268"/>
      <c r="H29" s="268"/>
      <c r="I29" s="268"/>
      <c r="J29" s="268"/>
      <c r="K29" s="268"/>
      <c r="L29" s="268"/>
      <c r="M29" s="268"/>
      <c r="N29" s="960"/>
      <c r="O29" s="960"/>
      <c r="P29" s="960"/>
      <c r="Q29" s="960"/>
      <c r="R29" s="960"/>
      <c r="S29" s="960"/>
      <c r="T29" s="960"/>
      <c r="U29" s="960"/>
      <c r="V29" s="961"/>
      <c r="W29" s="958"/>
      <c r="X29" s="958"/>
      <c r="Y29" s="958"/>
      <c r="Z29" s="977"/>
      <c r="AA29" s="978"/>
      <c r="AB29" s="978"/>
      <c r="AC29" s="978"/>
      <c r="AD29" s="978"/>
      <c r="AE29" s="978"/>
      <c r="AF29" s="978"/>
      <c r="AG29" s="978"/>
      <c r="AH29" s="978"/>
      <c r="AI29" s="978"/>
      <c r="AJ29" s="978"/>
      <c r="AK29" s="978"/>
      <c r="AL29" s="978"/>
      <c r="AM29" s="978"/>
      <c r="AN29" s="978"/>
      <c r="AO29" s="978"/>
      <c r="AP29" s="978"/>
      <c r="AQ29" s="978"/>
      <c r="AR29" s="978"/>
      <c r="AS29" s="978"/>
      <c r="AT29" s="978"/>
      <c r="AU29" s="978"/>
    </row>
    <row r="30" spans="1:47" ht="17.25">
      <c r="A30" s="268"/>
      <c r="B30" s="268"/>
      <c r="C30" s="268"/>
      <c r="D30" s="268"/>
      <c r="E30" s="268"/>
      <c r="F30" s="268"/>
      <c r="G30" s="268"/>
      <c r="H30" s="268"/>
      <c r="I30" s="268"/>
      <c r="J30" s="268"/>
      <c r="K30" s="268"/>
      <c r="L30" s="268"/>
      <c r="M30" s="268"/>
      <c r="N30" s="960"/>
      <c r="O30" s="960"/>
      <c r="P30" s="960"/>
      <c r="Q30" s="960"/>
      <c r="R30" s="960"/>
      <c r="S30" s="960"/>
      <c r="T30" s="960"/>
      <c r="U30" s="960"/>
      <c r="V30" s="961"/>
      <c r="W30" s="958"/>
      <c r="X30" s="958"/>
      <c r="Y30" s="958"/>
      <c r="Z30" s="977"/>
      <c r="AA30" s="978"/>
      <c r="AB30" s="978"/>
      <c r="AC30" s="978"/>
      <c r="AD30" s="978"/>
      <c r="AE30" s="978"/>
      <c r="AF30" s="978"/>
      <c r="AG30" s="978"/>
      <c r="AH30" s="978"/>
      <c r="AI30" s="978"/>
      <c r="AJ30" s="978"/>
      <c r="AK30" s="978"/>
      <c r="AL30" s="978"/>
      <c r="AM30" s="978"/>
      <c r="AN30" s="978"/>
      <c r="AO30" s="978"/>
      <c r="AP30" s="978"/>
      <c r="AQ30" s="978"/>
      <c r="AR30" s="978"/>
      <c r="AS30" s="978"/>
      <c r="AT30" s="978"/>
      <c r="AU30" s="978"/>
    </row>
    <row r="31" spans="1:47" ht="17.25">
      <c r="A31" s="268"/>
      <c r="B31" s="268"/>
      <c r="C31" s="268"/>
      <c r="D31" s="268"/>
      <c r="E31" s="268"/>
      <c r="F31" s="268"/>
      <c r="G31" s="268"/>
      <c r="H31" s="268"/>
      <c r="I31" s="268"/>
      <c r="J31" s="268"/>
      <c r="K31" s="268"/>
      <c r="L31" s="268"/>
      <c r="M31" s="268"/>
      <c r="N31" s="960"/>
      <c r="O31" s="960"/>
      <c r="P31" s="960"/>
      <c r="Q31" s="960"/>
      <c r="R31" s="960"/>
      <c r="S31" s="960"/>
      <c r="T31" s="960"/>
      <c r="U31" s="960"/>
      <c r="V31" s="961"/>
      <c r="W31" s="958"/>
      <c r="X31" s="958"/>
      <c r="Y31" s="958"/>
      <c r="Z31" s="977"/>
      <c r="AA31" s="978"/>
      <c r="AB31" s="978"/>
      <c r="AC31" s="978"/>
      <c r="AD31" s="978"/>
      <c r="AE31" s="978"/>
      <c r="AF31" s="978"/>
      <c r="AG31" s="978"/>
      <c r="AH31" s="978"/>
      <c r="AI31" s="978"/>
      <c r="AJ31" s="978"/>
      <c r="AK31" s="978"/>
      <c r="AL31" s="978"/>
      <c r="AM31" s="978"/>
      <c r="AN31" s="978"/>
      <c r="AO31" s="978"/>
      <c r="AP31" s="978"/>
      <c r="AQ31" s="978"/>
      <c r="AR31" s="978"/>
      <c r="AS31" s="978"/>
      <c r="AT31" s="978"/>
      <c r="AU31" s="978"/>
    </row>
    <row r="32" spans="1:47" ht="17.25">
      <c r="A32" s="268"/>
      <c r="B32" s="268"/>
      <c r="C32" s="268"/>
      <c r="D32" s="268"/>
      <c r="E32" s="268"/>
      <c r="F32" s="268"/>
      <c r="G32" s="268"/>
      <c r="H32" s="268"/>
      <c r="I32" s="268"/>
      <c r="J32" s="268"/>
      <c r="K32" s="268"/>
      <c r="L32" s="268"/>
      <c r="M32" s="268"/>
      <c r="N32" s="960"/>
      <c r="O32" s="960"/>
      <c r="P32" s="960"/>
      <c r="Q32" s="960"/>
      <c r="R32" s="960"/>
      <c r="S32" s="960"/>
      <c r="T32" s="960"/>
      <c r="U32" s="960"/>
      <c r="V32" s="961"/>
      <c r="W32" s="958"/>
      <c r="X32" s="958"/>
      <c r="Y32" s="958"/>
      <c r="Z32" s="977"/>
      <c r="AA32" s="978"/>
      <c r="AB32" s="978"/>
      <c r="AC32" s="978"/>
      <c r="AD32" s="978"/>
      <c r="AE32" s="978"/>
      <c r="AF32" s="978"/>
      <c r="AG32" s="978"/>
      <c r="AH32" s="978"/>
      <c r="AI32" s="978"/>
      <c r="AJ32" s="978"/>
      <c r="AK32" s="978"/>
      <c r="AL32" s="978"/>
      <c r="AM32" s="978"/>
      <c r="AN32" s="978"/>
      <c r="AO32" s="978"/>
      <c r="AP32" s="978"/>
      <c r="AQ32" s="978"/>
      <c r="AR32" s="978"/>
      <c r="AS32" s="978"/>
      <c r="AT32" s="978"/>
      <c r="AU32" s="978"/>
    </row>
    <row r="33" spans="1:47" ht="17.25">
      <c r="A33" s="268"/>
      <c r="B33" s="268"/>
      <c r="C33" s="268"/>
      <c r="D33" s="268"/>
      <c r="E33" s="268"/>
      <c r="F33" s="268"/>
      <c r="G33" s="268"/>
      <c r="H33" s="268"/>
      <c r="I33" s="268"/>
      <c r="J33" s="268"/>
      <c r="K33" s="268"/>
      <c r="L33" s="268"/>
      <c r="M33" s="268"/>
      <c r="N33" s="960"/>
      <c r="O33" s="960"/>
      <c r="P33" s="960"/>
      <c r="Q33" s="960"/>
      <c r="R33" s="960"/>
      <c r="S33" s="960"/>
      <c r="T33" s="960"/>
      <c r="U33" s="960"/>
      <c r="V33" s="961"/>
      <c r="W33" s="958"/>
      <c r="X33" s="958"/>
      <c r="Y33" s="958"/>
      <c r="Z33" s="977"/>
      <c r="AA33" s="978"/>
      <c r="AB33" s="978"/>
      <c r="AC33" s="978"/>
      <c r="AD33" s="978"/>
      <c r="AE33" s="978"/>
      <c r="AF33" s="978"/>
      <c r="AG33" s="978"/>
      <c r="AH33" s="978"/>
      <c r="AI33" s="978"/>
      <c r="AJ33" s="978"/>
      <c r="AK33" s="978"/>
      <c r="AL33" s="978"/>
      <c r="AM33" s="978"/>
      <c r="AN33" s="978"/>
      <c r="AO33" s="978"/>
      <c r="AP33" s="978"/>
      <c r="AQ33" s="978"/>
      <c r="AR33" s="978"/>
      <c r="AS33" s="978"/>
      <c r="AT33" s="978"/>
      <c r="AU33" s="978"/>
    </row>
    <row r="34" spans="1:47" ht="17.25">
      <c r="A34" s="268"/>
      <c r="B34" s="268"/>
      <c r="C34" s="268"/>
      <c r="D34" s="268"/>
      <c r="E34" s="268"/>
      <c r="F34" s="268"/>
      <c r="G34" s="268"/>
      <c r="H34" s="268"/>
      <c r="I34" s="268"/>
      <c r="J34" s="268"/>
      <c r="K34" s="268"/>
      <c r="L34" s="268"/>
      <c r="M34" s="268"/>
      <c r="N34" s="960"/>
      <c r="O34" s="960"/>
      <c r="P34" s="960"/>
      <c r="Q34" s="960"/>
      <c r="R34" s="960"/>
      <c r="S34" s="960"/>
      <c r="T34" s="960"/>
      <c r="U34" s="960"/>
      <c r="V34" s="961"/>
      <c r="W34" s="958"/>
      <c r="X34" s="958"/>
      <c r="Y34" s="958"/>
      <c r="Z34" s="977"/>
      <c r="AA34" s="978"/>
      <c r="AB34" s="978"/>
      <c r="AC34" s="978"/>
      <c r="AD34" s="978"/>
      <c r="AE34" s="978"/>
      <c r="AF34" s="978"/>
      <c r="AG34" s="978"/>
      <c r="AH34" s="978"/>
      <c r="AI34" s="978"/>
      <c r="AJ34" s="978"/>
      <c r="AK34" s="978"/>
      <c r="AL34" s="978"/>
      <c r="AM34" s="978"/>
      <c r="AN34" s="978"/>
      <c r="AO34" s="978"/>
      <c r="AP34" s="978"/>
      <c r="AQ34" s="978"/>
      <c r="AR34" s="978"/>
      <c r="AS34" s="978"/>
      <c r="AT34" s="978"/>
      <c r="AU34" s="978"/>
    </row>
    <row r="35" spans="1:47" ht="17.25">
      <c r="A35" s="268"/>
      <c r="B35" s="268"/>
      <c r="C35" s="268"/>
      <c r="D35" s="268"/>
      <c r="E35" s="268"/>
      <c r="F35" s="268"/>
      <c r="G35" s="268"/>
      <c r="H35" s="268"/>
      <c r="I35" s="268"/>
      <c r="J35" s="268"/>
      <c r="K35" s="268"/>
      <c r="L35" s="268"/>
      <c r="M35" s="268"/>
      <c r="N35" s="960"/>
      <c r="O35" s="960"/>
      <c r="P35" s="960"/>
      <c r="Q35" s="960"/>
      <c r="R35" s="960"/>
      <c r="S35" s="960"/>
      <c r="T35" s="960"/>
      <c r="U35" s="960"/>
      <c r="V35" s="961"/>
      <c r="W35" s="958"/>
      <c r="X35" s="958"/>
      <c r="Y35" s="958"/>
      <c r="Z35" s="977"/>
      <c r="AA35" s="978"/>
      <c r="AB35" s="978"/>
      <c r="AC35" s="978"/>
      <c r="AD35" s="978"/>
      <c r="AE35" s="978"/>
      <c r="AF35" s="978"/>
      <c r="AG35" s="978"/>
      <c r="AH35" s="978"/>
      <c r="AI35" s="978"/>
      <c r="AJ35" s="978"/>
      <c r="AK35" s="978"/>
      <c r="AL35" s="978"/>
      <c r="AM35" s="978"/>
      <c r="AN35" s="978"/>
      <c r="AO35" s="978"/>
      <c r="AP35" s="978"/>
      <c r="AQ35" s="978"/>
      <c r="AR35" s="978"/>
      <c r="AS35" s="978"/>
      <c r="AT35" s="978"/>
      <c r="AU35" s="978"/>
    </row>
    <row r="36" spans="1:47" ht="17.25">
      <c r="A36" s="268"/>
      <c r="B36" s="268"/>
      <c r="C36" s="268"/>
      <c r="D36" s="268"/>
      <c r="E36" s="268"/>
      <c r="F36" s="268"/>
      <c r="G36" s="268"/>
      <c r="H36" s="268"/>
      <c r="I36" s="268"/>
      <c r="J36" s="268"/>
      <c r="K36" s="268"/>
      <c r="L36" s="268"/>
      <c r="M36" s="268"/>
      <c r="N36" s="960"/>
      <c r="O36" s="960"/>
      <c r="P36" s="960"/>
      <c r="Q36" s="960"/>
      <c r="R36" s="960"/>
      <c r="S36" s="960"/>
      <c r="T36" s="960"/>
      <c r="U36" s="960"/>
      <c r="V36" s="961"/>
      <c r="W36" s="958"/>
      <c r="X36" s="958"/>
      <c r="Y36" s="958"/>
      <c r="Z36" s="977"/>
      <c r="AA36" s="978"/>
      <c r="AB36" s="978"/>
      <c r="AC36" s="978"/>
      <c r="AD36" s="978"/>
      <c r="AE36" s="978"/>
      <c r="AF36" s="978"/>
      <c r="AG36" s="978"/>
      <c r="AH36" s="978"/>
      <c r="AI36" s="978"/>
      <c r="AJ36" s="978"/>
      <c r="AK36" s="978"/>
      <c r="AL36" s="978"/>
      <c r="AM36" s="978"/>
      <c r="AN36" s="978"/>
      <c r="AO36" s="978"/>
      <c r="AP36" s="978"/>
      <c r="AQ36" s="978"/>
      <c r="AR36" s="978"/>
      <c r="AS36" s="978"/>
      <c r="AT36" s="978"/>
      <c r="AU36" s="978"/>
    </row>
    <row r="37" spans="1:47" ht="17.25">
      <c r="A37" s="268"/>
      <c r="B37" s="268"/>
      <c r="C37" s="268"/>
      <c r="D37" s="268"/>
      <c r="E37" s="268"/>
      <c r="F37" s="268"/>
      <c r="G37" s="268"/>
      <c r="H37" s="268"/>
      <c r="I37" s="268"/>
      <c r="J37" s="268"/>
      <c r="K37" s="268"/>
      <c r="L37" s="268"/>
      <c r="M37" s="268"/>
      <c r="N37" s="960"/>
      <c r="O37" s="960"/>
      <c r="P37" s="960"/>
      <c r="Q37" s="960"/>
      <c r="R37" s="960"/>
      <c r="S37" s="960"/>
      <c r="T37" s="960"/>
      <c r="U37" s="960"/>
      <c r="V37" s="961"/>
      <c r="W37" s="958"/>
      <c r="X37" s="958"/>
      <c r="Y37" s="958"/>
      <c r="Z37" s="977"/>
      <c r="AA37" s="978"/>
      <c r="AB37" s="978"/>
      <c r="AC37" s="978"/>
      <c r="AD37" s="978"/>
      <c r="AE37" s="978"/>
      <c r="AF37" s="978"/>
      <c r="AG37" s="978"/>
      <c r="AH37" s="978"/>
      <c r="AI37" s="978"/>
      <c r="AJ37" s="978"/>
      <c r="AK37" s="978"/>
      <c r="AL37" s="978"/>
      <c r="AM37" s="978"/>
      <c r="AN37" s="978"/>
      <c r="AO37" s="978"/>
      <c r="AP37" s="978"/>
      <c r="AQ37" s="978"/>
      <c r="AR37" s="978"/>
      <c r="AS37" s="978"/>
      <c r="AT37" s="978"/>
      <c r="AU37" s="978"/>
    </row>
    <row r="38" spans="1:47" ht="17.25">
      <c r="A38" s="268"/>
      <c r="B38" s="268"/>
      <c r="C38" s="268"/>
      <c r="D38" s="268"/>
      <c r="E38" s="268"/>
      <c r="F38" s="268"/>
      <c r="G38" s="268"/>
      <c r="H38" s="268"/>
      <c r="I38" s="268"/>
      <c r="J38" s="268"/>
      <c r="K38" s="268"/>
      <c r="L38" s="268"/>
      <c r="M38" s="268"/>
      <c r="N38" s="960"/>
      <c r="O38" s="960"/>
      <c r="P38" s="960"/>
      <c r="Q38" s="960"/>
      <c r="R38" s="960"/>
      <c r="S38" s="960"/>
      <c r="T38" s="960"/>
      <c r="U38" s="960"/>
      <c r="V38" s="961"/>
      <c r="W38" s="958"/>
      <c r="X38" s="958"/>
      <c r="Y38" s="958"/>
      <c r="Z38" s="977"/>
      <c r="AA38" s="978"/>
      <c r="AB38" s="978"/>
      <c r="AC38" s="978"/>
      <c r="AD38" s="978"/>
      <c r="AE38" s="978"/>
      <c r="AF38" s="978"/>
      <c r="AG38" s="978"/>
      <c r="AH38" s="978"/>
      <c r="AI38" s="978"/>
      <c r="AJ38" s="978"/>
      <c r="AK38" s="978"/>
      <c r="AL38" s="978"/>
      <c r="AM38" s="978"/>
      <c r="AN38" s="978"/>
      <c r="AO38" s="978"/>
      <c r="AP38" s="978"/>
      <c r="AQ38" s="978"/>
      <c r="AR38" s="978"/>
      <c r="AS38" s="978"/>
      <c r="AT38" s="978"/>
      <c r="AU38" s="978"/>
    </row>
    <row r="39" spans="1:47" ht="17.25">
      <c r="A39" s="268"/>
      <c r="B39" s="268"/>
      <c r="C39" s="268"/>
      <c r="D39" s="268"/>
      <c r="E39" s="268"/>
      <c r="F39" s="268"/>
      <c r="G39" s="268"/>
      <c r="H39" s="268"/>
      <c r="I39" s="268"/>
      <c r="J39" s="268"/>
      <c r="K39" s="268"/>
      <c r="L39" s="268"/>
      <c r="M39" s="268"/>
      <c r="N39" s="960"/>
      <c r="O39" s="960"/>
      <c r="P39" s="960"/>
      <c r="Q39" s="960"/>
      <c r="R39" s="960"/>
      <c r="S39" s="960"/>
      <c r="T39" s="960"/>
      <c r="U39" s="960"/>
      <c r="V39" s="961"/>
      <c r="W39" s="958"/>
      <c r="X39" s="958"/>
      <c r="Y39" s="958"/>
      <c r="Z39" s="977"/>
      <c r="AA39" s="978"/>
      <c r="AB39" s="978"/>
      <c r="AC39" s="978"/>
      <c r="AD39" s="978"/>
      <c r="AE39" s="978"/>
      <c r="AF39" s="978"/>
      <c r="AG39" s="978"/>
      <c r="AH39" s="978"/>
      <c r="AI39" s="978"/>
      <c r="AJ39" s="978"/>
      <c r="AK39" s="978"/>
      <c r="AL39" s="978"/>
      <c r="AM39" s="978"/>
      <c r="AN39" s="978"/>
      <c r="AO39" s="978"/>
      <c r="AP39" s="978"/>
      <c r="AQ39" s="978"/>
      <c r="AR39" s="978"/>
      <c r="AS39" s="978"/>
      <c r="AT39" s="978"/>
      <c r="AU39" s="978"/>
    </row>
    <row r="40" spans="1:47" ht="17.25">
      <c r="A40" s="268"/>
      <c r="B40" s="268"/>
      <c r="C40" s="268"/>
      <c r="D40" s="268"/>
      <c r="E40" s="268"/>
      <c r="F40" s="268"/>
      <c r="G40" s="268"/>
      <c r="H40" s="268"/>
      <c r="I40" s="268"/>
      <c r="J40" s="268"/>
      <c r="K40" s="268"/>
      <c r="L40" s="268"/>
      <c r="M40" s="268"/>
      <c r="N40" s="960"/>
      <c r="O40" s="960"/>
      <c r="P40" s="960"/>
      <c r="Q40" s="960"/>
      <c r="R40" s="960"/>
      <c r="S40" s="960"/>
      <c r="T40" s="960"/>
      <c r="U40" s="960"/>
      <c r="V40" s="961"/>
      <c r="W40" s="958"/>
      <c r="X40" s="958"/>
      <c r="Y40" s="958"/>
      <c r="Z40" s="977"/>
      <c r="AA40" s="978"/>
      <c r="AB40" s="978"/>
      <c r="AC40" s="978"/>
      <c r="AD40" s="978"/>
      <c r="AE40" s="978"/>
      <c r="AF40" s="978"/>
      <c r="AG40" s="978"/>
      <c r="AH40" s="978"/>
      <c r="AI40" s="978"/>
      <c r="AJ40" s="978"/>
      <c r="AK40" s="978"/>
      <c r="AL40" s="978"/>
      <c r="AM40" s="978"/>
      <c r="AN40" s="978"/>
      <c r="AO40" s="978"/>
      <c r="AP40" s="978"/>
      <c r="AQ40" s="978"/>
      <c r="AR40" s="978"/>
      <c r="AS40" s="978"/>
      <c r="AT40" s="978"/>
      <c r="AU40" s="978"/>
    </row>
    <row r="41" spans="1:47" ht="17.25">
      <c r="A41" s="268"/>
      <c r="B41" s="268"/>
      <c r="C41" s="268"/>
      <c r="D41" s="268"/>
      <c r="E41" s="268"/>
      <c r="F41" s="268"/>
      <c r="G41" s="268"/>
      <c r="H41" s="268"/>
      <c r="I41" s="268"/>
      <c r="J41" s="268"/>
      <c r="K41" s="268"/>
      <c r="L41" s="268"/>
      <c r="M41" s="268"/>
      <c r="N41" s="960"/>
      <c r="O41" s="960"/>
      <c r="P41" s="960"/>
      <c r="Q41" s="960"/>
      <c r="R41" s="960"/>
      <c r="S41" s="960"/>
      <c r="T41" s="960"/>
      <c r="U41" s="960"/>
      <c r="V41" s="961"/>
      <c r="W41" s="958"/>
      <c r="X41" s="958"/>
      <c r="Y41" s="958"/>
      <c r="Z41" s="977"/>
      <c r="AA41" s="978"/>
      <c r="AB41" s="978"/>
      <c r="AC41" s="978"/>
      <c r="AD41" s="978"/>
      <c r="AE41" s="978"/>
      <c r="AF41" s="978"/>
      <c r="AG41" s="978"/>
      <c r="AH41" s="978"/>
      <c r="AI41" s="978"/>
      <c r="AJ41" s="978"/>
      <c r="AK41" s="978"/>
      <c r="AL41" s="978"/>
      <c r="AM41" s="978"/>
      <c r="AN41" s="978"/>
      <c r="AO41" s="978"/>
      <c r="AP41" s="978"/>
      <c r="AQ41" s="978"/>
      <c r="AR41" s="978"/>
      <c r="AS41" s="978"/>
      <c r="AT41" s="978"/>
      <c r="AU41" s="978"/>
    </row>
    <row r="42" spans="1:47" ht="17.25">
      <c r="A42" s="268"/>
      <c r="B42" s="268"/>
      <c r="C42" s="268"/>
      <c r="D42" s="268"/>
      <c r="E42" s="268"/>
      <c r="F42" s="268"/>
      <c r="G42" s="268"/>
      <c r="H42" s="268"/>
      <c r="I42" s="268"/>
      <c r="J42" s="268"/>
      <c r="K42" s="268"/>
      <c r="L42" s="268"/>
      <c r="M42" s="268"/>
      <c r="N42" s="960"/>
      <c r="O42" s="960"/>
      <c r="P42" s="960"/>
      <c r="Q42" s="960"/>
      <c r="R42" s="960"/>
      <c r="S42" s="960"/>
      <c r="T42" s="960"/>
      <c r="U42" s="960"/>
      <c r="V42" s="961"/>
      <c r="W42" s="958"/>
      <c r="X42" s="958"/>
      <c r="Y42" s="958"/>
      <c r="Z42" s="977"/>
      <c r="AA42" s="978"/>
      <c r="AB42" s="978"/>
      <c r="AC42" s="978"/>
      <c r="AD42" s="978"/>
      <c r="AE42" s="978"/>
      <c r="AF42" s="978"/>
      <c r="AG42" s="978"/>
      <c r="AH42" s="978"/>
      <c r="AI42" s="978"/>
      <c r="AJ42" s="978"/>
      <c r="AK42" s="978"/>
      <c r="AL42" s="978"/>
      <c r="AM42" s="978"/>
      <c r="AN42" s="978"/>
      <c r="AO42" s="978"/>
      <c r="AP42" s="978"/>
      <c r="AQ42" s="978"/>
      <c r="AR42" s="978"/>
      <c r="AS42" s="978"/>
      <c r="AT42" s="978"/>
      <c r="AU42" s="978"/>
    </row>
    <row r="43" spans="1:47" ht="17.25">
      <c r="A43" s="268"/>
      <c r="B43" s="268"/>
      <c r="C43" s="268"/>
      <c r="D43" s="268"/>
      <c r="E43" s="268"/>
      <c r="F43" s="268"/>
      <c r="G43" s="268"/>
      <c r="H43" s="268"/>
      <c r="I43" s="268"/>
      <c r="J43" s="268"/>
      <c r="K43" s="268"/>
      <c r="L43" s="268"/>
      <c r="M43" s="268"/>
      <c r="N43" s="960"/>
      <c r="O43" s="960"/>
      <c r="P43" s="960"/>
      <c r="Q43" s="960"/>
      <c r="R43" s="960"/>
      <c r="S43" s="960"/>
      <c r="T43" s="960"/>
      <c r="U43" s="960"/>
      <c r="V43" s="961"/>
      <c r="W43" s="958"/>
      <c r="X43" s="958"/>
      <c r="Y43" s="958"/>
      <c r="Z43" s="977"/>
      <c r="AA43" s="978"/>
      <c r="AB43" s="978"/>
      <c r="AC43" s="978"/>
      <c r="AD43" s="978"/>
      <c r="AE43" s="978"/>
      <c r="AF43" s="978"/>
      <c r="AG43" s="978"/>
      <c r="AH43" s="978"/>
      <c r="AI43" s="978"/>
      <c r="AJ43" s="978"/>
      <c r="AK43" s="978"/>
      <c r="AL43" s="978"/>
      <c r="AM43" s="978"/>
      <c r="AN43" s="978"/>
      <c r="AO43" s="978"/>
      <c r="AP43" s="978"/>
      <c r="AQ43" s="978"/>
      <c r="AR43" s="978"/>
      <c r="AS43" s="978"/>
      <c r="AT43" s="978"/>
      <c r="AU43" s="978"/>
    </row>
    <row r="44" spans="1:47" ht="17.25">
      <c r="A44" s="268"/>
      <c r="B44" s="268"/>
      <c r="C44" s="268"/>
      <c r="D44" s="268"/>
      <c r="E44" s="268"/>
      <c r="F44" s="268"/>
      <c r="G44" s="268"/>
      <c r="H44" s="268"/>
      <c r="I44" s="268"/>
      <c r="J44" s="268"/>
      <c r="K44" s="268"/>
      <c r="L44" s="268"/>
      <c r="M44" s="268"/>
      <c r="N44" s="960"/>
      <c r="O44" s="960"/>
      <c r="P44" s="960"/>
      <c r="Q44" s="960"/>
      <c r="R44" s="960"/>
      <c r="S44" s="960"/>
      <c r="T44" s="960"/>
      <c r="U44" s="960"/>
      <c r="V44" s="961"/>
      <c r="W44" s="958"/>
      <c r="X44" s="958"/>
      <c r="Y44" s="958"/>
      <c r="Z44" s="977"/>
      <c r="AA44" s="978"/>
      <c r="AB44" s="978"/>
      <c r="AC44" s="978"/>
      <c r="AD44" s="978"/>
      <c r="AE44" s="978"/>
      <c r="AF44" s="978"/>
      <c r="AG44" s="978"/>
      <c r="AH44" s="978"/>
      <c r="AI44" s="978"/>
      <c r="AJ44" s="978"/>
      <c r="AK44" s="978"/>
      <c r="AL44" s="978"/>
      <c r="AM44" s="978"/>
      <c r="AN44" s="978"/>
      <c r="AO44" s="978"/>
      <c r="AP44" s="978"/>
      <c r="AQ44" s="978"/>
      <c r="AR44" s="978"/>
      <c r="AS44" s="978"/>
      <c r="AT44" s="978"/>
      <c r="AU44" s="978"/>
    </row>
    <row r="45" spans="1:47" ht="17.25">
      <c r="A45" s="268"/>
      <c r="B45" s="268"/>
      <c r="C45" s="268"/>
      <c r="D45" s="268"/>
      <c r="E45" s="268"/>
      <c r="F45" s="268"/>
      <c r="G45" s="268"/>
      <c r="H45" s="268"/>
      <c r="I45" s="268"/>
      <c r="J45" s="268"/>
      <c r="K45" s="268"/>
      <c r="L45" s="268"/>
      <c r="M45" s="268"/>
      <c r="N45" s="960"/>
      <c r="O45" s="960"/>
      <c r="P45" s="960"/>
      <c r="Q45" s="960"/>
      <c r="R45" s="960"/>
      <c r="S45" s="960"/>
      <c r="T45" s="960"/>
      <c r="U45" s="960"/>
      <c r="V45" s="961"/>
      <c r="W45" s="958"/>
      <c r="X45" s="958"/>
      <c r="Y45" s="958"/>
      <c r="Z45" s="977"/>
      <c r="AA45" s="978"/>
      <c r="AB45" s="978"/>
      <c r="AC45" s="978"/>
      <c r="AD45" s="978"/>
      <c r="AE45" s="978"/>
      <c r="AF45" s="978"/>
      <c r="AG45" s="978"/>
      <c r="AH45" s="978"/>
      <c r="AI45" s="978"/>
      <c r="AJ45" s="978"/>
      <c r="AK45" s="978"/>
      <c r="AL45" s="978"/>
      <c r="AM45" s="978"/>
      <c r="AN45" s="978"/>
      <c r="AO45" s="978"/>
      <c r="AP45" s="978"/>
      <c r="AQ45" s="978"/>
      <c r="AR45" s="978"/>
      <c r="AS45" s="978"/>
      <c r="AT45" s="978"/>
      <c r="AU45" s="978"/>
    </row>
    <row r="46" spans="1:47" ht="17.25">
      <c r="A46" s="268"/>
      <c r="B46" s="268"/>
      <c r="C46" s="268"/>
      <c r="D46" s="268"/>
      <c r="E46" s="268"/>
      <c r="F46" s="268"/>
      <c r="G46" s="268"/>
      <c r="H46" s="268"/>
      <c r="I46" s="268"/>
      <c r="J46" s="268"/>
      <c r="K46" s="268"/>
      <c r="L46" s="268"/>
      <c r="M46" s="268"/>
      <c r="N46" s="960"/>
      <c r="O46" s="960"/>
      <c r="P46" s="960"/>
      <c r="Q46" s="960"/>
      <c r="R46" s="960"/>
      <c r="S46" s="960"/>
      <c r="T46" s="960"/>
      <c r="U46" s="960"/>
      <c r="V46" s="961"/>
      <c r="W46" s="958"/>
      <c r="X46" s="958"/>
      <c r="Y46" s="958"/>
      <c r="Z46" s="977"/>
      <c r="AA46" s="978"/>
      <c r="AB46" s="978"/>
      <c r="AC46" s="978"/>
      <c r="AD46" s="978"/>
      <c r="AE46" s="978"/>
      <c r="AF46" s="978"/>
      <c r="AG46" s="978"/>
      <c r="AH46" s="978"/>
      <c r="AI46" s="978"/>
      <c r="AJ46" s="978"/>
      <c r="AK46" s="978"/>
      <c r="AL46" s="978"/>
      <c r="AM46" s="978"/>
      <c r="AN46" s="978"/>
      <c r="AO46" s="978"/>
      <c r="AP46" s="978"/>
      <c r="AQ46" s="978"/>
      <c r="AR46" s="978"/>
      <c r="AS46" s="978"/>
      <c r="AT46" s="978"/>
      <c r="AU46" s="978"/>
    </row>
    <row r="47" spans="1:47" ht="21" customHeight="1">
      <c r="A47" s="268"/>
      <c r="B47" s="268"/>
      <c r="C47" s="268"/>
      <c r="D47" s="268"/>
      <c r="E47" s="268"/>
      <c r="F47" s="268"/>
      <c r="G47" s="268"/>
      <c r="H47" s="268"/>
      <c r="I47" s="268"/>
      <c r="J47" s="268"/>
      <c r="K47" s="268"/>
      <c r="L47" s="268"/>
      <c r="M47" s="268"/>
      <c r="N47" s="960"/>
      <c r="O47" s="960"/>
      <c r="P47" s="960"/>
      <c r="Q47" s="960"/>
      <c r="R47" s="960"/>
      <c r="S47" s="960"/>
      <c r="T47" s="960"/>
      <c r="U47" s="960"/>
      <c r="V47" s="961"/>
      <c r="W47" s="958"/>
      <c r="X47" s="958"/>
      <c r="Y47" s="958"/>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row>
    <row r="48" spans="1:47" ht="29.25" customHeight="1">
      <c r="A48" s="268"/>
      <c r="B48" s="268"/>
      <c r="C48" s="268"/>
      <c r="D48" s="268"/>
      <c r="E48" s="268"/>
      <c r="F48" s="268"/>
      <c r="G48" s="268"/>
      <c r="H48" s="268"/>
      <c r="I48" s="268"/>
      <c r="J48" s="268"/>
      <c r="K48" s="268"/>
      <c r="L48" s="268"/>
      <c r="M48" s="268"/>
      <c r="N48" s="960"/>
      <c r="O48" s="960"/>
      <c r="P48" s="960"/>
      <c r="Q48" s="960"/>
      <c r="R48" s="960"/>
      <c r="S48" s="960"/>
      <c r="T48" s="960"/>
      <c r="U48" s="960"/>
      <c r="V48" s="961"/>
      <c r="W48" s="958"/>
      <c r="X48" s="958"/>
      <c r="Y48" s="958"/>
      <c r="Z48" s="973"/>
      <c r="AA48" s="979"/>
      <c r="AB48" s="979"/>
      <c r="AC48" s="979"/>
      <c r="AD48" s="979"/>
      <c r="AE48" s="979"/>
      <c r="AF48" s="979"/>
      <c r="AG48" s="979"/>
      <c r="AH48" s="979"/>
      <c r="AI48" s="979"/>
      <c r="AJ48" s="979"/>
      <c r="AK48" s="979"/>
      <c r="AL48" s="979"/>
      <c r="AM48" s="979"/>
      <c r="AN48" s="979"/>
      <c r="AO48" s="979"/>
      <c r="AP48" s="979"/>
      <c r="AQ48" s="979"/>
      <c r="AR48" s="979"/>
      <c r="AS48" s="979"/>
      <c r="AT48" s="979"/>
      <c r="AU48" s="979"/>
    </row>
    <row r="49" spans="1:47" ht="6.75" customHeight="1">
      <c r="A49" s="268"/>
      <c r="B49" s="268"/>
      <c r="C49" s="268"/>
      <c r="D49" s="268"/>
      <c r="E49" s="268"/>
      <c r="F49" s="268"/>
      <c r="G49" s="268"/>
      <c r="H49" s="268"/>
      <c r="I49" s="268"/>
      <c r="J49" s="268"/>
      <c r="K49" s="268"/>
      <c r="L49" s="268"/>
      <c r="M49" s="268"/>
      <c r="N49" s="960"/>
      <c r="O49" s="960"/>
      <c r="P49" s="960"/>
      <c r="Q49" s="960"/>
      <c r="R49" s="960"/>
      <c r="S49" s="960"/>
      <c r="T49" s="960"/>
      <c r="U49" s="960"/>
      <c r="V49" s="961"/>
      <c r="W49" s="958"/>
      <c r="X49" s="958"/>
      <c r="Y49" s="958"/>
      <c r="Z49" s="973"/>
      <c r="AA49" s="979"/>
      <c r="AB49" s="979"/>
      <c r="AC49" s="979"/>
      <c r="AD49" s="979"/>
      <c r="AE49" s="979"/>
      <c r="AF49" s="979"/>
      <c r="AG49" s="979"/>
      <c r="AH49" s="979"/>
      <c r="AI49" s="979"/>
      <c r="AJ49" s="979"/>
      <c r="AK49" s="979"/>
      <c r="AL49" s="979"/>
      <c r="AM49" s="979"/>
      <c r="AN49" s="979"/>
      <c r="AO49" s="979"/>
      <c r="AP49" s="979"/>
      <c r="AQ49" s="979"/>
      <c r="AR49" s="979"/>
      <c r="AS49" s="979"/>
      <c r="AT49" s="979"/>
      <c r="AU49" s="979"/>
    </row>
    <row r="50" spans="1:47" ht="15.75" customHeight="1">
      <c r="A50" s="268"/>
      <c r="B50" s="268"/>
      <c r="C50" s="268"/>
      <c r="D50" s="285"/>
      <c r="E50" s="273"/>
      <c r="F50" s="268"/>
      <c r="G50" s="268"/>
      <c r="H50" s="268"/>
      <c r="I50" s="268"/>
      <c r="J50" s="268"/>
      <c r="K50" s="268"/>
      <c r="L50" s="268"/>
      <c r="M50" s="268"/>
      <c r="N50" s="960"/>
      <c r="O50" s="960"/>
      <c r="P50" s="960"/>
      <c r="Q50" s="960"/>
      <c r="R50" s="960"/>
      <c r="S50" s="960"/>
      <c r="T50" s="960"/>
      <c r="U50" s="960"/>
      <c r="V50" s="961"/>
      <c r="W50" s="958"/>
      <c r="X50" s="958"/>
      <c r="Y50" s="958"/>
      <c r="Z50" s="977"/>
      <c r="AA50" s="978"/>
      <c r="AB50" s="978"/>
      <c r="AC50" s="978"/>
      <c r="AD50" s="978"/>
      <c r="AE50" s="978"/>
      <c r="AF50" s="978"/>
      <c r="AG50" s="978"/>
      <c r="AH50" s="978"/>
      <c r="AI50" s="978"/>
      <c r="AJ50" s="978"/>
      <c r="AK50" s="978"/>
      <c r="AL50" s="978"/>
      <c r="AM50" s="978"/>
      <c r="AN50" s="978"/>
      <c r="AO50" s="978"/>
      <c r="AP50" s="978"/>
      <c r="AQ50" s="978"/>
      <c r="AR50" s="978"/>
      <c r="AS50" s="978"/>
      <c r="AT50" s="978"/>
      <c r="AU50" s="978"/>
    </row>
    <row r="51" spans="1:47" ht="15.75" customHeight="1">
      <c r="A51" s="268"/>
      <c r="B51" s="268"/>
      <c r="C51" s="325"/>
      <c r="D51" s="298"/>
      <c r="E51" s="299"/>
      <c r="F51" s="325"/>
      <c r="G51" s="268"/>
      <c r="H51" s="268"/>
      <c r="I51" s="268"/>
      <c r="J51" s="268"/>
      <c r="K51" s="268"/>
      <c r="L51" s="268"/>
      <c r="M51" s="268"/>
      <c r="N51" s="960"/>
      <c r="O51" s="960"/>
      <c r="P51" s="960"/>
      <c r="Q51" s="960"/>
      <c r="R51" s="960"/>
      <c r="S51" s="960"/>
      <c r="T51" s="960"/>
      <c r="U51" s="960"/>
      <c r="V51" s="961"/>
      <c r="W51" s="958"/>
      <c r="X51" s="958"/>
      <c r="Y51" s="958"/>
      <c r="Z51" s="969"/>
      <c r="AA51" s="970"/>
      <c r="AB51" s="970"/>
      <c r="AC51" s="970"/>
      <c r="AD51" s="970"/>
      <c r="AE51" s="970"/>
      <c r="AF51" s="970"/>
      <c r="AG51" s="970"/>
      <c r="AH51" s="970"/>
      <c r="AI51" s="970"/>
      <c r="AJ51" s="970"/>
      <c r="AK51" s="970"/>
      <c r="AL51" s="970"/>
      <c r="AM51" s="970"/>
      <c r="AN51" s="970"/>
      <c r="AO51" s="970"/>
      <c r="AP51" s="970"/>
      <c r="AQ51" s="970"/>
      <c r="AR51" s="970"/>
      <c r="AS51" s="970"/>
      <c r="AT51" s="970"/>
      <c r="AU51" s="970"/>
    </row>
    <row r="52" spans="1:47" ht="14.25" customHeight="1">
      <c r="A52" s="11"/>
      <c r="B52" s="11"/>
      <c r="C52" s="11"/>
      <c r="D52" s="11"/>
      <c r="E52" s="11"/>
      <c r="F52" s="11"/>
      <c r="G52" s="11"/>
      <c r="H52" s="11"/>
      <c r="I52" s="11"/>
      <c r="J52" s="11"/>
      <c r="K52" s="11"/>
      <c r="L52" s="11"/>
      <c r="M52" s="11"/>
      <c r="N52" s="960"/>
      <c r="O52" s="960"/>
      <c r="P52" s="960"/>
      <c r="Q52" s="960"/>
      <c r="R52" s="960"/>
      <c r="S52" s="960"/>
      <c r="T52" s="960"/>
      <c r="U52" s="960"/>
      <c r="V52" s="961"/>
      <c r="W52" s="961"/>
      <c r="X52" s="958"/>
      <c r="Y52" s="958"/>
      <c r="Z52" s="973"/>
      <c r="AA52" s="979"/>
      <c r="AB52" s="979"/>
      <c r="AC52" s="979"/>
      <c r="AD52" s="979"/>
      <c r="AE52" s="979"/>
      <c r="AF52" s="979"/>
      <c r="AG52" s="979"/>
      <c r="AH52" s="979"/>
      <c r="AI52" s="979"/>
      <c r="AJ52" s="979"/>
      <c r="AK52" s="979"/>
      <c r="AL52" s="979"/>
      <c r="AM52" s="979"/>
      <c r="AN52" s="979"/>
      <c r="AO52" s="979"/>
      <c r="AP52" s="979"/>
      <c r="AQ52" s="979"/>
      <c r="AR52" s="979"/>
      <c r="AS52" s="979"/>
      <c r="AT52" s="979"/>
      <c r="AU52" s="979"/>
    </row>
    <row r="53" spans="1:65" s="14" customFormat="1" ht="17.25">
      <c r="A53" s="11"/>
      <c r="B53" s="11"/>
      <c r="C53" s="11"/>
      <c r="D53" s="11"/>
      <c r="E53" s="11"/>
      <c r="F53" s="11"/>
      <c r="G53" s="11"/>
      <c r="H53" s="11"/>
      <c r="I53" s="11"/>
      <c r="J53" s="11"/>
      <c r="K53" s="11"/>
      <c r="L53" s="11"/>
      <c r="M53" s="11"/>
      <c r="N53" s="960"/>
      <c r="O53" s="960"/>
      <c r="P53" s="960"/>
      <c r="Q53" s="960"/>
      <c r="R53" s="960"/>
      <c r="S53" s="960"/>
      <c r="T53" s="960"/>
      <c r="U53" s="960"/>
      <c r="V53" s="961"/>
      <c r="W53" s="958"/>
      <c r="X53" s="958"/>
      <c r="Y53" s="958"/>
      <c r="Z53" s="977"/>
      <c r="AA53" s="978"/>
      <c r="AB53" s="978"/>
      <c r="AC53" s="978"/>
      <c r="AD53" s="978"/>
      <c r="AE53" s="978"/>
      <c r="AF53" s="978"/>
      <c r="AG53" s="978"/>
      <c r="AH53" s="978"/>
      <c r="AI53" s="978"/>
      <c r="AJ53" s="978"/>
      <c r="AK53" s="978"/>
      <c r="AL53" s="978"/>
      <c r="AM53" s="978"/>
      <c r="AN53" s="978"/>
      <c r="AO53" s="978"/>
      <c r="AP53" s="978"/>
      <c r="AQ53" s="978"/>
      <c r="AR53" s="978"/>
      <c r="AS53" s="978"/>
      <c r="AT53" s="978"/>
      <c r="AU53" s="978"/>
      <c r="AV53" s="980"/>
      <c r="AW53" s="980"/>
      <c r="AX53" s="980"/>
      <c r="AY53" s="980"/>
      <c r="AZ53" s="980"/>
      <c r="BA53" s="980"/>
      <c r="BB53" s="980"/>
      <c r="BC53" s="980"/>
      <c r="BD53" s="980"/>
      <c r="BE53" s="980"/>
      <c r="BF53" s="980"/>
      <c r="BG53" s="981"/>
      <c r="BH53" s="981"/>
      <c r="BI53" s="981"/>
      <c r="BJ53" s="981"/>
      <c r="BK53" s="981"/>
      <c r="BL53" s="981"/>
      <c r="BM53" s="981"/>
    </row>
    <row r="54" spans="1:65" s="14" customFormat="1" ht="27.75" customHeight="1">
      <c r="A54" s="11"/>
      <c r="B54" s="11"/>
      <c r="C54" s="11"/>
      <c r="D54" s="11"/>
      <c r="E54" s="11"/>
      <c r="F54" s="11"/>
      <c r="G54" s="11"/>
      <c r="H54" s="11"/>
      <c r="I54" s="11"/>
      <c r="J54" s="11"/>
      <c r="K54" s="11"/>
      <c r="L54" s="11"/>
      <c r="M54" s="11"/>
      <c r="N54" s="953"/>
      <c r="O54" s="960"/>
      <c r="P54" s="960"/>
      <c r="Q54" s="960"/>
      <c r="R54" s="960"/>
      <c r="S54" s="960"/>
      <c r="T54" s="960"/>
      <c r="U54" s="960"/>
      <c r="V54" s="961"/>
      <c r="W54" s="958"/>
      <c r="X54" s="958"/>
      <c r="Y54" s="958"/>
      <c r="Z54" s="969"/>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80"/>
      <c r="AW54" s="980"/>
      <c r="AX54" s="980"/>
      <c r="AY54" s="980"/>
      <c r="AZ54" s="980"/>
      <c r="BA54" s="980"/>
      <c r="BB54" s="980"/>
      <c r="BC54" s="980"/>
      <c r="BD54" s="980"/>
      <c r="BE54" s="980"/>
      <c r="BF54" s="980"/>
      <c r="BG54" s="981"/>
      <c r="BH54" s="981"/>
      <c r="BI54" s="981"/>
      <c r="BJ54" s="981"/>
      <c r="BK54" s="981"/>
      <c r="BL54" s="981"/>
      <c r="BM54" s="981"/>
    </row>
    <row r="55" spans="1:65" s="14" customFormat="1" ht="18" thickBot="1">
      <c r="A55" s="15" t="s">
        <v>34</v>
      </c>
      <c r="B55" s="11"/>
      <c r="C55" s="11"/>
      <c r="D55" s="11"/>
      <c r="E55" s="11"/>
      <c r="F55" s="11"/>
      <c r="G55" s="11"/>
      <c r="H55" s="11"/>
      <c r="I55" s="11"/>
      <c r="J55" s="11"/>
      <c r="K55" s="11"/>
      <c r="L55" s="11"/>
      <c r="M55" s="7"/>
      <c r="N55" s="953"/>
      <c r="O55" s="960"/>
      <c r="P55" s="960"/>
      <c r="Q55" s="960"/>
      <c r="R55" s="960"/>
      <c r="S55" s="960"/>
      <c r="T55" s="960"/>
      <c r="U55" s="960"/>
      <c r="V55" s="961"/>
      <c r="W55" s="958"/>
      <c r="X55" s="958"/>
      <c r="Y55" s="958"/>
      <c r="Z55" s="973"/>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80"/>
      <c r="AW55" s="980"/>
      <c r="AX55" s="980"/>
      <c r="AY55" s="980"/>
      <c r="AZ55" s="980"/>
      <c r="BA55" s="980"/>
      <c r="BB55" s="980"/>
      <c r="BC55" s="980"/>
      <c r="BD55" s="980"/>
      <c r="BE55" s="980"/>
      <c r="BF55" s="980"/>
      <c r="BG55" s="981"/>
      <c r="BH55" s="981"/>
      <c r="BI55" s="981"/>
      <c r="BJ55" s="981"/>
      <c r="BK55" s="981"/>
      <c r="BL55" s="981"/>
      <c r="BM55" s="981"/>
    </row>
    <row r="56" spans="1:65" s="14" customFormat="1" ht="18" thickBot="1" thickTop="1">
      <c r="A56" s="16" t="s">
        <v>118</v>
      </c>
      <c r="B56" s="17">
        <f>IF(Input!J27=0,-100,Input!J27)</f>
        <v>6500</v>
      </c>
      <c r="C56" s="18">
        <f>IF(Input!K27=0,-100,Input!K27)</f>
        <v>3600</v>
      </c>
      <c r="D56" s="18">
        <f>IF(Input!L27=0,-100,Input!L27)</f>
        <v>1100</v>
      </c>
      <c r="E56" s="18">
        <f>IF(Input!M27=0,-100,Input!M27)</f>
        <v>250</v>
      </c>
      <c r="F56" s="18">
        <f>IF(Input!N27=0,-100,Input!N27)</f>
        <v>10</v>
      </c>
      <c r="G56" s="18">
        <f>IF(Input!O27=0,-100,Input!O27)</f>
        <v>-100</v>
      </c>
      <c r="H56" s="18">
        <f>IF(Input!P27=0,-100,Input!P27)</f>
        <v>-100</v>
      </c>
      <c r="I56" s="18">
        <f>IF(Input!Q27=0,-100,Input!Q27)</f>
        <v>-100</v>
      </c>
      <c r="J56" s="18">
        <f>IF(Input!R27=0,-100,Input!R27)</f>
        <v>-100</v>
      </c>
      <c r="K56" s="18">
        <f>IF(Input!S27=0,-100,Input!S27)</f>
        <v>-100</v>
      </c>
      <c r="L56" s="19">
        <f>IF(Input!T27=0,-100,Input!T27)</f>
        <v>-100</v>
      </c>
      <c r="M56" s="7"/>
      <c r="N56" s="953"/>
      <c r="O56" s="960"/>
      <c r="P56" s="960"/>
      <c r="Q56" s="960"/>
      <c r="R56" s="960"/>
      <c r="S56" s="960"/>
      <c r="T56" s="960"/>
      <c r="U56" s="960"/>
      <c r="V56" s="961"/>
      <c r="W56" s="958"/>
      <c r="X56" s="958"/>
      <c r="Y56" s="958"/>
      <c r="Z56" s="977"/>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80"/>
      <c r="AW56" s="980"/>
      <c r="AX56" s="980"/>
      <c r="AY56" s="980"/>
      <c r="AZ56" s="980"/>
      <c r="BA56" s="980"/>
      <c r="BB56" s="980"/>
      <c r="BC56" s="980"/>
      <c r="BD56" s="980"/>
      <c r="BE56" s="980"/>
      <c r="BF56" s="980"/>
      <c r="BG56" s="981"/>
      <c r="BH56" s="981"/>
      <c r="BI56" s="981"/>
      <c r="BJ56" s="981"/>
      <c r="BK56" s="981"/>
      <c r="BL56" s="981"/>
      <c r="BM56" s="981"/>
    </row>
    <row r="57" spans="1:65" s="14" customFormat="1" ht="18" thickTop="1">
      <c r="A57" s="20" t="s">
        <v>119</v>
      </c>
      <c r="B57" s="11"/>
      <c r="C57" s="11"/>
      <c r="D57" s="11"/>
      <c r="E57" s="21" t="s">
        <v>43</v>
      </c>
      <c r="F57" s="22">
        <f>Co.1</f>
        <v>70</v>
      </c>
      <c r="G57" s="23" t="s">
        <v>44</v>
      </c>
      <c r="H57" s="22">
        <f>IF(F57=0,0,F57)</f>
        <v>70</v>
      </c>
      <c r="I57" s="7"/>
      <c r="J57" s="7"/>
      <c r="K57" s="7"/>
      <c r="L57" s="7"/>
      <c r="M57" s="7"/>
      <c r="N57" s="960"/>
      <c r="O57" s="960"/>
      <c r="P57" s="960"/>
      <c r="Q57" s="960"/>
      <c r="R57" s="960"/>
      <c r="S57" s="960"/>
      <c r="T57" s="960"/>
      <c r="U57" s="960"/>
      <c r="V57" s="961"/>
      <c r="W57" s="958"/>
      <c r="X57" s="958"/>
      <c r="Y57" s="958"/>
      <c r="Z57" s="969"/>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80"/>
      <c r="AW57" s="980"/>
      <c r="AX57" s="980"/>
      <c r="AY57" s="980"/>
      <c r="AZ57" s="980"/>
      <c r="BA57" s="980"/>
      <c r="BB57" s="980"/>
      <c r="BC57" s="980"/>
      <c r="BD57" s="980"/>
      <c r="BE57" s="980"/>
      <c r="BF57" s="980"/>
      <c r="BG57" s="981"/>
      <c r="BH57" s="981"/>
      <c r="BI57" s="981"/>
      <c r="BJ57" s="981"/>
      <c r="BK57" s="981"/>
      <c r="BL57" s="981"/>
      <c r="BM57" s="981"/>
    </row>
    <row r="58" spans="1:65" s="14" customFormat="1" ht="17.25">
      <c r="A58" s="11"/>
      <c r="B58" s="11"/>
      <c r="C58" s="11"/>
      <c r="D58" s="11"/>
      <c r="E58" s="21" t="s">
        <v>52</v>
      </c>
      <c r="F58" s="22">
        <f>Co.2</f>
        <v>4500</v>
      </c>
      <c r="G58" s="23" t="s">
        <v>53</v>
      </c>
      <c r="H58" s="22">
        <f>IF(F58=0,0,F58-F57)</f>
        <v>4430</v>
      </c>
      <c r="I58" s="7"/>
      <c r="J58" s="7"/>
      <c r="K58" s="7"/>
      <c r="L58" s="7"/>
      <c r="M58" s="11"/>
      <c r="N58" s="960"/>
      <c r="O58" s="960"/>
      <c r="P58" s="960"/>
      <c r="Q58" s="960"/>
      <c r="R58" s="960"/>
      <c r="S58" s="960"/>
      <c r="T58" s="960"/>
      <c r="U58" s="960"/>
      <c r="V58" s="961"/>
      <c r="W58" s="958"/>
      <c r="X58" s="958"/>
      <c r="Y58" s="958"/>
      <c r="Z58" s="973"/>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80"/>
      <c r="AW58" s="980"/>
      <c r="AX58" s="980"/>
      <c r="AY58" s="980"/>
      <c r="AZ58" s="980"/>
      <c r="BA58" s="980"/>
      <c r="BB58" s="980"/>
      <c r="BC58" s="980"/>
      <c r="BD58" s="980"/>
      <c r="BE58" s="980"/>
      <c r="BF58" s="980"/>
      <c r="BG58" s="981"/>
      <c r="BH58" s="981"/>
      <c r="BI58" s="981"/>
      <c r="BJ58" s="981"/>
      <c r="BK58" s="981"/>
      <c r="BL58" s="981"/>
      <c r="BM58" s="981"/>
    </row>
    <row r="59" spans="1:65" s="14" customFormat="1" ht="17.25">
      <c r="A59" s="10"/>
      <c r="B59" s="11"/>
      <c r="C59" s="11"/>
      <c r="D59" s="11"/>
      <c r="E59" s="21" t="s">
        <v>58</v>
      </c>
      <c r="F59" s="22">
        <f>Co.3</f>
        <v>9000</v>
      </c>
      <c r="G59" s="23" t="s">
        <v>59</v>
      </c>
      <c r="H59" s="22">
        <f>IF(F59=0,0,F59-F58)</f>
        <v>4500</v>
      </c>
      <c r="I59" s="11"/>
      <c r="J59" s="11"/>
      <c r="K59" s="24"/>
      <c r="L59" s="11"/>
      <c r="M59" s="11"/>
      <c r="N59" s="960"/>
      <c r="O59" s="960"/>
      <c r="P59" s="960"/>
      <c r="Q59" s="960"/>
      <c r="R59" s="960"/>
      <c r="S59" s="960"/>
      <c r="T59" s="960"/>
      <c r="U59" s="960"/>
      <c r="V59" s="961"/>
      <c r="W59" s="958"/>
      <c r="X59" s="958"/>
      <c r="Y59" s="958"/>
      <c r="Z59" s="977"/>
      <c r="AA59" s="978"/>
      <c r="AB59" s="978"/>
      <c r="AC59" s="978"/>
      <c r="AD59" s="978"/>
      <c r="AE59" s="978"/>
      <c r="AF59" s="978"/>
      <c r="AG59" s="978"/>
      <c r="AH59" s="978"/>
      <c r="AI59" s="978"/>
      <c r="AJ59" s="978"/>
      <c r="AK59" s="978"/>
      <c r="AL59" s="978"/>
      <c r="AM59" s="978"/>
      <c r="AN59" s="978"/>
      <c r="AO59" s="978"/>
      <c r="AP59" s="978"/>
      <c r="AQ59" s="978"/>
      <c r="AR59" s="978"/>
      <c r="AS59" s="978"/>
      <c r="AT59" s="978"/>
      <c r="AU59" s="978"/>
      <c r="AV59" s="980"/>
      <c r="AW59" s="980"/>
      <c r="AX59" s="980"/>
      <c r="AY59" s="980"/>
      <c r="AZ59" s="980"/>
      <c r="BA59" s="980"/>
      <c r="BB59" s="980"/>
      <c r="BC59" s="980"/>
      <c r="BD59" s="980"/>
      <c r="BE59" s="980"/>
      <c r="BF59" s="980"/>
      <c r="BG59" s="981"/>
      <c r="BH59" s="981"/>
      <c r="BI59" s="981"/>
      <c r="BJ59" s="981"/>
      <c r="BK59" s="981"/>
      <c r="BL59" s="981"/>
      <c r="BM59" s="981"/>
    </row>
    <row r="60" spans="1:65" s="14" customFormat="1" ht="18" thickBot="1">
      <c r="A60" s="10"/>
      <c r="B60" s="11"/>
      <c r="C60" s="11"/>
      <c r="D60" s="16" t="s">
        <v>120</v>
      </c>
      <c r="E60" s="25">
        <v>1</v>
      </c>
      <c r="F60" s="11"/>
      <c r="G60" s="11"/>
      <c r="H60" s="11"/>
      <c r="I60" s="11"/>
      <c r="J60" s="11"/>
      <c r="K60" s="11"/>
      <c r="L60" s="11"/>
      <c r="M60" s="11"/>
      <c r="N60" s="960"/>
      <c r="O60" s="960"/>
      <c r="P60" s="960"/>
      <c r="Q60" s="960"/>
      <c r="R60" s="960"/>
      <c r="S60" s="960"/>
      <c r="T60" s="960"/>
      <c r="U60" s="960"/>
      <c r="V60" s="961"/>
      <c r="W60" s="958"/>
      <c r="X60" s="958"/>
      <c r="Y60" s="958"/>
      <c r="Z60" s="969"/>
      <c r="AA60" s="970"/>
      <c r="AB60" s="970"/>
      <c r="AC60" s="970"/>
      <c r="AD60" s="970"/>
      <c r="AE60" s="970"/>
      <c r="AF60" s="970"/>
      <c r="AG60" s="970"/>
      <c r="AH60" s="970"/>
      <c r="AI60" s="970"/>
      <c r="AJ60" s="970"/>
      <c r="AK60" s="970"/>
      <c r="AL60" s="970"/>
      <c r="AM60" s="970"/>
      <c r="AN60" s="970"/>
      <c r="AO60" s="970"/>
      <c r="AP60" s="970"/>
      <c r="AQ60" s="970"/>
      <c r="AR60" s="970"/>
      <c r="AS60" s="970"/>
      <c r="AT60" s="970"/>
      <c r="AU60" s="970"/>
      <c r="AV60" s="980"/>
      <c r="AW60" s="980"/>
      <c r="AX60" s="980"/>
      <c r="AY60" s="980"/>
      <c r="AZ60" s="980"/>
      <c r="BA60" s="980"/>
      <c r="BB60" s="980"/>
      <c r="BC60" s="980"/>
      <c r="BD60" s="980"/>
      <c r="BE60" s="980"/>
      <c r="BF60" s="980"/>
      <c r="BG60" s="981"/>
      <c r="BH60" s="981"/>
      <c r="BI60" s="981"/>
      <c r="BJ60" s="981"/>
      <c r="BK60" s="981"/>
      <c r="BL60" s="981"/>
      <c r="BM60" s="981"/>
    </row>
    <row r="61" spans="1:47" ht="17.25">
      <c r="A61" s="26" t="s">
        <v>411</v>
      </c>
      <c r="B61" s="27"/>
      <c r="C61" s="27"/>
      <c r="D61" s="28" t="s">
        <v>121</v>
      </c>
      <c r="E61" s="29">
        <f>(2*(alpha.x*Vc*t)^0.5)</f>
        <v>122.10703191852575</v>
      </c>
      <c r="F61" s="29"/>
      <c r="G61" s="30"/>
      <c r="H61" s="27"/>
      <c r="I61" s="30"/>
      <c r="J61" s="30"/>
      <c r="K61" s="30"/>
      <c r="L61" s="30"/>
      <c r="M61" s="27"/>
      <c r="N61" s="982"/>
      <c r="O61" s="960"/>
      <c r="P61" s="960"/>
      <c r="Q61" s="960"/>
      <c r="R61" s="960"/>
      <c r="S61" s="960"/>
      <c r="T61" s="960"/>
      <c r="U61" s="960"/>
      <c r="V61" s="961"/>
      <c r="W61" s="958"/>
      <c r="X61" s="958"/>
      <c r="Y61" s="958"/>
      <c r="Z61" s="973"/>
      <c r="AA61" s="979"/>
      <c r="AB61" s="979"/>
      <c r="AC61" s="979"/>
      <c r="AD61" s="979"/>
      <c r="AE61" s="979"/>
      <c r="AF61" s="979"/>
      <c r="AG61" s="979"/>
      <c r="AH61" s="979"/>
      <c r="AI61" s="979"/>
      <c r="AJ61" s="979"/>
      <c r="AK61" s="979"/>
      <c r="AL61" s="979"/>
      <c r="AM61" s="979"/>
      <c r="AN61" s="979"/>
      <c r="AO61" s="979"/>
      <c r="AP61" s="979"/>
      <c r="AQ61" s="979"/>
      <c r="AR61" s="979"/>
      <c r="AS61" s="979"/>
      <c r="AT61" s="979"/>
      <c r="AU61" s="979"/>
    </row>
    <row r="62" spans="1:52" ht="17.25">
      <c r="A62" s="31" t="s">
        <v>192</v>
      </c>
      <c r="B62" s="32">
        <f>0*delx+0.0001</f>
        <v>0.0001</v>
      </c>
      <c r="C62" s="33">
        <f>C155</f>
        <v>63</v>
      </c>
      <c r="D62" s="33">
        <f aca="true" t="shared" si="7" ref="D62:L62">D155</f>
        <v>130</v>
      </c>
      <c r="E62" s="33">
        <f t="shared" si="7"/>
        <v>192</v>
      </c>
      <c r="F62" s="33">
        <f t="shared" si="7"/>
        <v>288</v>
      </c>
      <c r="G62" s="33">
        <f t="shared" si="7"/>
      </c>
      <c r="H62" s="33">
        <f t="shared" si="7"/>
      </c>
      <c r="I62" s="33">
        <f t="shared" si="7"/>
      </c>
      <c r="J62" s="33">
        <f t="shared" si="7"/>
      </c>
      <c r="K62" s="33">
        <f t="shared" si="7"/>
      </c>
      <c r="L62" s="33">
        <f t="shared" si="7"/>
      </c>
      <c r="M62" s="12"/>
      <c r="N62" s="983"/>
      <c r="O62" s="960"/>
      <c r="P62" s="960"/>
      <c r="Q62" s="960"/>
      <c r="R62" s="960"/>
      <c r="S62" s="960"/>
      <c r="T62" s="960"/>
      <c r="U62" s="960"/>
      <c r="V62" s="961"/>
      <c r="W62" s="958"/>
      <c r="X62" s="958"/>
      <c r="Y62" s="958"/>
      <c r="Z62" s="977"/>
      <c r="AA62" s="978"/>
      <c r="AB62" s="978"/>
      <c r="AC62" s="978"/>
      <c r="AD62" s="978"/>
      <c r="AE62" s="978"/>
      <c r="AF62" s="978"/>
      <c r="AG62" s="978"/>
      <c r="AH62" s="978"/>
      <c r="AI62" s="978"/>
      <c r="AJ62" s="978"/>
      <c r="AK62" s="978"/>
      <c r="AL62" s="978"/>
      <c r="AM62" s="978"/>
      <c r="AN62" s="978"/>
      <c r="AO62" s="978"/>
      <c r="AP62" s="978"/>
      <c r="AQ62" s="978"/>
      <c r="AR62" s="978"/>
      <c r="AS62" s="978"/>
      <c r="AT62" s="978"/>
      <c r="AU62" s="978"/>
      <c r="AY62" s="984"/>
      <c r="AZ62" s="984"/>
    </row>
    <row r="63" spans="1:52" ht="17.25">
      <c r="A63" s="34" t="s">
        <v>200</v>
      </c>
      <c r="B63" s="33">
        <f>Input!J26</f>
        <v>0</v>
      </c>
      <c r="C63" s="33">
        <f>Input!K26</f>
        <v>10</v>
      </c>
      <c r="D63" s="33">
        <f>Input!L26</f>
        <v>12</v>
      </c>
      <c r="E63" s="33">
        <f>Input!M26</f>
        <v>56</v>
      </c>
      <c r="F63" s="33">
        <f>Input!N26</f>
        <v>10</v>
      </c>
      <c r="G63" s="33">
        <f>Input!O26</f>
        <v>0</v>
      </c>
      <c r="H63" s="33">
        <f>Input!P26</f>
        <v>0</v>
      </c>
      <c r="I63" s="33">
        <f>Input!Q26</f>
        <v>0</v>
      </c>
      <c r="J63" s="33">
        <f>Input!R26</f>
        <v>0</v>
      </c>
      <c r="K63" s="33">
        <f>Input!S26</f>
        <v>0</v>
      </c>
      <c r="L63" s="33">
        <f>Input!T26</f>
        <v>0</v>
      </c>
      <c r="M63" s="35">
        <v>1.9</v>
      </c>
      <c r="N63" s="983"/>
      <c r="O63" s="960"/>
      <c r="P63" s="960"/>
      <c r="Q63" s="960"/>
      <c r="R63" s="960"/>
      <c r="S63" s="960"/>
      <c r="T63" s="960"/>
      <c r="U63" s="960"/>
      <c r="V63" s="961"/>
      <c r="W63" s="958"/>
      <c r="X63" s="958"/>
      <c r="Y63" s="958"/>
      <c r="Z63" s="969"/>
      <c r="AA63" s="970"/>
      <c r="AB63" s="970"/>
      <c r="AC63" s="970"/>
      <c r="AD63" s="970"/>
      <c r="AE63" s="970"/>
      <c r="AF63" s="970"/>
      <c r="AG63" s="970"/>
      <c r="AH63" s="970"/>
      <c r="AI63" s="970"/>
      <c r="AJ63" s="970"/>
      <c r="AK63" s="970"/>
      <c r="AL63" s="970"/>
      <c r="AM63" s="970"/>
      <c r="AN63" s="970"/>
      <c r="AO63" s="970"/>
      <c r="AP63" s="970"/>
      <c r="AQ63" s="970"/>
      <c r="AR63" s="970"/>
      <c r="AS63" s="970"/>
      <c r="AT63" s="970"/>
      <c r="AU63" s="970"/>
      <c r="AY63" s="984"/>
      <c r="AZ63" s="984"/>
    </row>
    <row r="64" spans="1:65" s="11" customFormat="1" ht="17.25">
      <c r="A64" s="36" t="s">
        <v>123</v>
      </c>
      <c r="B64" s="37">
        <v>1</v>
      </c>
      <c r="C64" s="37">
        <v>1</v>
      </c>
      <c r="D64" s="37">
        <v>1</v>
      </c>
      <c r="E64" s="37">
        <v>1</v>
      </c>
      <c r="F64" s="37">
        <v>1</v>
      </c>
      <c r="G64" s="37">
        <v>1</v>
      </c>
      <c r="H64" s="37">
        <v>1</v>
      </c>
      <c r="I64" s="37">
        <v>1</v>
      </c>
      <c r="J64" s="37">
        <v>1</v>
      </c>
      <c r="K64" s="37">
        <v>1</v>
      </c>
      <c r="L64" s="37">
        <v>1</v>
      </c>
      <c r="M64" s="12"/>
      <c r="N64" s="983"/>
      <c r="O64" s="960"/>
      <c r="P64" s="960"/>
      <c r="Q64" s="960"/>
      <c r="R64" s="960"/>
      <c r="S64" s="960"/>
      <c r="T64" s="960"/>
      <c r="U64" s="960"/>
      <c r="V64" s="961"/>
      <c r="W64" s="958"/>
      <c r="X64" s="958"/>
      <c r="Y64" s="958"/>
      <c r="Z64" s="973"/>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61"/>
      <c r="AW64" s="961"/>
      <c r="AX64" s="961"/>
      <c r="AY64" s="985"/>
      <c r="AZ64" s="985"/>
      <c r="BA64" s="961"/>
      <c r="BB64" s="961"/>
      <c r="BC64" s="961"/>
      <c r="BD64" s="961"/>
      <c r="BE64" s="961"/>
      <c r="BF64" s="961"/>
      <c r="BG64" s="960"/>
      <c r="BH64" s="960"/>
      <c r="BI64" s="960"/>
      <c r="BJ64" s="960"/>
      <c r="BK64" s="960"/>
      <c r="BL64" s="960"/>
      <c r="BM64" s="960"/>
    </row>
    <row r="65" spans="1:52" ht="17.25">
      <c r="A65" s="38" t="s">
        <v>124</v>
      </c>
      <c r="B65" s="35">
        <f aca="true" t="shared" si="8" ref="B65:L65">(B$62-Vc*t*erfcconst1)/erfcconst2</f>
        <v>-2.2688880245191534</v>
      </c>
      <c r="C65" s="35">
        <f t="shared" si="8"/>
        <v>-1.752948041291686</v>
      </c>
      <c r="D65" s="35">
        <f t="shared" si="8"/>
        <v>-1.2042490929403344</v>
      </c>
      <c r="E65" s="35">
        <f t="shared" si="8"/>
        <v>-0.6964978273017702</v>
      </c>
      <c r="F65" s="35">
        <f t="shared" si="8"/>
        <v>0.08969768078374848</v>
      </c>
      <c r="G65" s="35" t="e">
        <f t="shared" si="8"/>
        <v>#VALUE!</v>
      </c>
      <c r="H65" s="35" t="e">
        <f t="shared" si="8"/>
        <v>#VALUE!</v>
      </c>
      <c r="I65" s="35" t="e">
        <f t="shared" si="8"/>
        <v>#VALUE!</v>
      </c>
      <c r="J65" s="35" t="e">
        <f t="shared" si="8"/>
        <v>#VALUE!</v>
      </c>
      <c r="K65" s="35" t="e">
        <f t="shared" si="8"/>
        <v>#VALUE!</v>
      </c>
      <c r="L65" s="35" t="e">
        <f t="shared" si="8"/>
        <v>#VALUE!</v>
      </c>
      <c r="M65" s="12"/>
      <c r="N65" s="986"/>
      <c r="O65" s="960"/>
      <c r="P65" s="960"/>
      <c r="Q65" s="960"/>
      <c r="R65" s="960"/>
      <c r="S65" s="960"/>
      <c r="T65" s="960"/>
      <c r="U65" s="960"/>
      <c r="V65" s="961"/>
      <c r="W65" s="958"/>
      <c r="X65" s="958"/>
      <c r="Y65" s="958"/>
      <c r="Z65" s="977"/>
      <c r="AA65" s="978"/>
      <c r="AB65" s="978"/>
      <c r="AC65" s="978"/>
      <c r="AD65" s="978"/>
      <c r="AE65" s="978"/>
      <c r="AF65" s="978"/>
      <c r="AG65" s="978"/>
      <c r="AH65" s="978"/>
      <c r="AI65" s="978"/>
      <c r="AJ65" s="978"/>
      <c r="AK65" s="978"/>
      <c r="AL65" s="978"/>
      <c r="AM65" s="978"/>
      <c r="AN65" s="978"/>
      <c r="AO65" s="978"/>
      <c r="AP65" s="978"/>
      <c r="AQ65" s="978"/>
      <c r="AR65" s="978"/>
      <c r="AS65" s="978"/>
      <c r="AT65" s="978"/>
      <c r="AU65" s="978"/>
      <c r="AY65" s="987"/>
      <c r="AZ65" s="987"/>
    </row>
    <row r="66" spans="1:52" ht="15">
      <c r="A66" s="36" t="s">
        <v>125</v>
      </c>
      <c r="B66" s="37">
        <f aca="true" t="shared" si="9" ref="B66:L66">gerfC(B65)</f>
        <v>1.9986665984467593</v>
      </c>
      <c r="C66" s="37">
        <f t="shared" si="9"/>
        <v>1.9868264545191998</v>
      </c>
      <c r="D66" s="37">
        <f t="shared" si="9"/>
        <v>1.911444173732308</v>
      </c>
      <c r="E66" s="37">
        <f t="shared" si="9"/>
        <v>1.6753742811188432</v>
      </c>
      <c r="F66" s="37">
        <f t="shared" si="9"/>
        <v>0.8990577667345673</v>
      </c>
      <c r="G66" s="37" t="e">
        <f t="shared" si="9"/>
        <v>#VALUE!</v>
      </c>
      <c r="H66" s="37" t="e">
        <f t="shared" si="9"/>
        <v>#VALUE!</v>
      </c>
      <c r="I66" s="37" t="e">
        <f t="shared" si="9"/>
        <v>#VALUE!</v>
      </c>
      <c r="J66" s="37" t="e">
        <f t="shared" si="9"/>
        <v>#VALUE!</v>
      </c>
      <c r="K66" s="37" t="e">
        <f t="shared" si="9"/>
        <v>#VALUE!</v>
      </c>
      <c r="L66" s="37" t="e">
        <f t="shared" si="9"/>
        <v>#VALUE!</v>
      </c>
      <c r="M66" s="12"/>
      <c r="N66" s="983"/>
      <c r="O66" s="960"/>
      <c r="P66" s="960"/>
      <c r="Q66" s="960"/>
      <c r="R66" s="960"/>
      <c r="S66" s="960"/>
      <c r="T66" s="960"/>
      <c r="U66" s="960"/>
      <c r="V66" s="961"/>
      <c r="W66" s="958"/>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Y66" s="985"/>
      <c r="AZ66" s="985"/>
    </row>
    <row r="67" spans="1:52" ht="15">
      <c r="A67" s="38" t="s">
        <v>126</v>
      </c>
      <c r="B67" s="35">
        <f>[0]!Z/2/(alpha.z*B$62)^0.5</f>
        <v>1.5811388300841896E+52</v>
      </c>
      <c r="C67" s="35">
        <f>[0]!Z/2/(alpha.z*C$62)^0.5</f>
        <v>1.9920476822239894E+49</v>
      </c>
      <c r="D67" s="35">
        <f>[0]!Z/2/(alpha.z*D$62)^0.5</f>
        <v>1.386750490563073E+49</v>
      </c>
      <c r="E67" s="35">
        <f>[0]!Z/2/(alpha.z*E$62)^0.5</f>
        <v>1.141088661469096E+49</v>
      </c>
      <c r="F67" s="35">
        <f>[0]!Z/2/(alpha.z*F$62)^0.5</f>
        <v>9.316949906249123E+48</v>
      </c>
      <c r="G67" s="35" t="e">
        <f>[0]!Z/2/(alpha.z*G$62)^0.5</f>
        <v>#VALUE!</v>
      </c>
      <c r="H67" s="35" t="e">
        <f>[0]!Z/2/(alpha.z*H$62)^0.5</f>
        <v>#VALUE!</v>
      </c>
      <c r="I67" s="35" t="e">
        <f>[0]!Z/2/(alpha.z*I$62)^0.5</f>
        <v>#VALUE!</v>
      </c>
      <c r="J67" s="35" t="e">
        <f>[0]!Z/2/(alpha.z*J$62)^0.5</f>
        <v>#VALUE!</v>
      </c>
      <c r="K67" s="35" t="e">
        <f>[0]!Z/2/(alpha.z*K$62)^0.5</f>
        <v>#VALUE!</v>
      </c>
      <c r="L67" s="35" t="e">
        <f>[0]!Z/2/(alpha.z*L$62)^0.5</f>
        <v>#VALUE!</v>
      </c>
      <c r="M67" s="12"/>
      <c r="N67" s="983"/>
      <c r="O67" s="960"/>
      <c r="P67" s="960"/>
      <c r="Q67" s="960"/>
      <c r="R67" s="960"/>
      <c r="S67" s="960"/>
      <c r="T67" s="960"/>
      <c r="U67" s="960"/>
      <c r="V67" s="961"/>
      <c r="W67" s="958"/>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Y67" s="987"/>
      <c r="AZ67" s="987"/>
    </row>
    <row r="68" spans="1:52" ht="15">
      <c r="A68" s="36" t="s">
        <v>127</v>
      </c>
      <c r="B68" s="37">
        <f aca="true" t="shared" si="10" ref="B68:L68">2*gerf(B67)</f>
        <v>2</v>
      </c>
      <c r="C68" s="37">
        <f t="shared" si="10"/>
        <v>2</v>
      </c>
      <c r="D68" s="37">
        <f t="shared" si="10"/>
        <v>2</v>
      </c>
      <c r="E68" s="37">
        <f t="shared" si="10"/>
        <v>2</v>
      </c>
      <c r="F68" s="37">
        <f t="shared" si="10"/>
        <v>2</v>
      </c>
      <c r="G68" s="37" t="e">
        <f t="shared" si="10"/>
        <v>#VALUE!</v>
      </c>
      <c r="H68" s="37" t="e">
        <f t="shared" si="10"/>
        <v>#VALUE!</v>
      </c>
      <c r="I68" s="37" t="e">
        <f t="shared" si="10"/>
        <v>#VALUE!</v>
      </c>
      <c r="J68" s="37" t="e">
        <f t="shared" si="10"/>
        <v>#VALUE!</v>
      </c>
      <c r="K68" s="37" t="e">
        <f t="shared" si="10"/>
        <v>#VALUE!</v>
      </c>
      <c r="L68" s="37" t="e">
        <f t="shared" si="10"/>
        <v>#VALUE!</v>
      </c>
      <c r="M68" s="12"/>
      <c r="N68" s="983"/>
      <c r="O68" s="960"/>
      <c r="P68" s="960"/>
      <c r="Q68" s="960"/>
      <c r="R68" s="960"/>
      <c r="S68" s="960"/>
      <c r="T68" s="960"/>
      <c r="U68" s="960"/>
      <c r="V68" s="961"/>
      <c r="W68" s="958"/>
      <c r="X68" s="958"/>
      <c r="Y68" s="958"/>
      <c r="Z68" s="958"/>
      <c r="AA68" s="958"/>
      <c r="AB68" s="958"/>
      <c r="AC68" s="958"/>
      <c r="AD68" s="958"/>
      <c r="AE68" s="958"/>
      <c r="AF68" s="958"/>
      <c r="AG68" s="958"/>
      <c r="AH68" s="958"/>
      <c r="AI68" s="958"/>
      <c r="AJ68" s="958"/>
      <c r="AK68" s="958"/>
      <c r="AL68" s="958"/>
      <c r="AM68" s="958"/>
      <c r="AN68" s="958"/>
      <c r="AO68" s="958"/>
      <c r="AP68" s="958"/>
      <c r="AQ68" s="958"/>
      <c r="AR68" s="958"/>
      <c r="AS68" s="958"/>
      <c r="AT68" s="958"/>
      <c r="AU68" s="958"/>
      <c r="AY68" s="985"/>
      <c r="AZ68" s="985"/>
    </row>
    <row r="69" spans="1:52" ht="15">
      <c r="A69" s="38" t="s">
        <v>128</v>
      </c>
      <c r="B69" s="35">
        <f aca="true" t="shared" si="11" ref="B69:L69">gerf((B$63+Y.1/2)/(2*(alpha.y*B$62)^0.5))-gerf((B$63-Y.1/2)/(2*(alpha.y*B$62)^0.5))</f>
        <v>2</v>
      </c>
      <c r="C69" s="35">
        <f t="shared" si="11"/>
        <v>2</v>
      </c>
      <c r="D69" s="35">
        <f t="shared" si="11"/>
        <v>1.9999999984746255</v>
      </c>
      <c r="E69" s="35">
        <f t="shared" si="11"/>
        <v>1.997599713348485</v>
      </c>
      <c r="F69" s="35">
        <f t="shared" si="11"/>
        <v>1.999962639358912</v>
      </c>
      <c r="G69" s="35" t="e">
        <f t="shared" si="11"/>
        <v>#VALUE!</v>
      </c>
      <c r="H69" s="35" t="e">
        <f t="shared" si="11"/>
        <v>#VALUE!</v>
      </c>
      <c r="I69" s="35" t="e">
        <f t="shared" si="11"/>
        <v>#VALUE!</v>
      </c>
      <c r="J69" s="35" t="e">
        <f t="shared" si="11"/>
        <v>#VALUE!</v>
      </c>
      <c r="K69" s="35" t="e">
        <f t="shared" si="11"/>
        <v>#VALUE!</v>
      </c>
      <c r="L69" s="35" t="e">
        <f t="shared" si="11"/>
        <v>#VALUE!</v>
      </c>
      <c r="M69" s="12"/>
      <c r="N69" s="983"/>
      <c r="O69" s="960"/>
      <c r="P69" s="960"/>
      <c r="Q69" s="960"/>
      <c r="R69" s="960"/>
      <c r="S69" s="960"/>
      <c r="T69" s="960"/>
      <c r="U69" s="960"/>
      <c r="V69" s="961"/>
      <c r="W69" s="958"/>
      <c r="X69" s="958"/>
      <c r="Y69" s="958"/>
      <c r="Z69" s="958"/>
      <c r="AA69" s="988"/>
      <c r="AB69" s="988"/>
      <c r="AC69" s="988"/>
      <c r="AD69" s="988"/>
      <c r="AE69" s="988"/>
      <c r="AF69" s="988"/>
      <c r="AG69" s="988"/>
      <c r="AH69" s="988"/>
      <c r="AI69" s="988"/>
      <c r="AJ69" s="988"/>
      <c r="AK69" s="988"/>
      <c r="AL69" s="958"/>
      <c r="AM69" s="958"/>
      <c r="AN69" s="958"/>
      <c r="AO69" s="958"/>
      <c r="AP69" s="958"/>
      <c r="AQ69" s="958"/>
      <c r="AR69" s="958"/>
      <c r="AS69" s="958"/>
      <c r="AT69" s="958"/>
      <c r="AU69" s="958"/>
      <c r="AY69" s="987"/>
      <c r="AZ69" s="987"/>
    </row>
    <row r="70" spans="1:52" ht="15">
      <c r="A70" s="38" t="s">
        <v>51</v>
      </c>
      <c r="B70" s="35">
        <f aca="true" t="shared" si="12" ref="B70:L70">gerf((B$63+Y.2/2)/(2*(alpha.y*B$62)^0.5))-gerf((B$63-Y.2/2)/(2*(alpha.y*B$62)^0.5))</f>
        <v>2</v>
      </c>
      <c r="C70" s="35">
        <f t="shared" si="12"/>
        <v>1.999999403064</v>
      </c>
      <c r="D70" s="35">
        <f t="shared" si="12"/>
        <v>1.9992405726861502</v>
      </c>
      <c r="E70" s="35">
        <f t="shared" si="12"/>
        <v>1.596788759861358</v>
      </c>
      <c r="F70" s="35">
        <f t="shared" si="12"/>
        <v>1.97818822545965</v>
      </c>
      <c r="G70" s="35" t="e">
        <f t="shared" si="12"/>
        <v>#VALUE!</v>
      </c>
      <c r="H70" s="35" t="e">
        <f t="shared" si="12"/>
        <v>#VALUE!</v>
      </c>
      <c r="I70" s="35" t="e">
        <f t="shared" si="12"/>
        <v>#VALUE!</v>
      </c>
      <c r="J70" s="35" t="e">
        <f t="shared" si="12"/>
        <v>#VALUE!</v>
      </c>
      <c r="K70" s="35" t="e">
        <f t="shared" si="12"/>
        <v>#VALUE!</v>
      </c>
      <c r="L70" s="35" t="e">
        <f t="shared" si="12"/>
        <v>#VALUE!</v>
      </c>
      <c r="M70" s="12"/>
      <c r="N70" s="983"/>
      <c r="O70" s="960"/>
      <c r="P70" s="960"/>
      <c r="Q70" s="960"/>
      <c r="R70" s="960"/>
      <c r="S70" s="960"/>
      <c r="T70" s="960"/>
      <c r="U70" s="960"/>
      <c r="V70" s="961"/>
      <c r="W70" s="958"/>
      <c r="X70" s="958"/>
      <c r="Y70" s="958"/>
      <c r="Z70" s="958"/>
      <c r="AA70" s="989"/>
      <c r="AB70" s="989"/>
      <c r="AC70" s="989"/>
      <c r="AD70" s="989"/>
      <c r="AE70" s="989"/>
      <c r="AF70" s="989"/>
      <c r="AG70" s="989"/>
      <c r="AH70" s="989"/>
      <c r="AI70" s="989"/>
      <c r="AJ70" s="989"/>
      <c r="AK70" s="989"/>
      <c r="AL70" s="958"/>
      <c r="AM70" s="958"/>
      <c r="AN70" s="958"/>
      <c r="AO70" s="958"/>
      <c r="AP70" s="958"/>
      <c r="AQ70" s="958"/>
      <c r="AR70" s="958"/>
      <c r="AS70" s="958"/>
      <c r="AT70" s="958"/>
      <c r="AU70" s="958"/>
      <c r="AY70" s="987"/>
      <c r="AZ70" s="987"/>
    </row>
    <row r="71" spans="1:52" ht="15">
      <c r="A71" s="38" t="s">
        <v>57</v>
      </c>
      <c r="B71" s="35">
        <f aca="true" t="shared" si="13" ref="B71:L71">gerf((B$63+Y.3/2)/(2*(alpha.y*B$62)^0.5))-gerf((B$63-Y.3/2)/(2*(alpha.y*B$62)^0.5))</f>
        <v>2</v>
      </c>
      <c r="C71" s="35">
        <f t="shared" si="13"/>
        <v>1.997870637386322</v>
      </c>
      <c r="D71" s="35">
        <f t="shared" si="13"/>
        <v>1.9569009408164146</v>
      </c>
      <c r="E71" s="35">
        <f t="shared" si="13"/>
        <v>0.7918012085106819</v>
      </c>
      <c r="F71" s="35">
        <f t="shared" si="13"/>
        <v>1.8181038209174227</v>
      </c>
      <c r="G71" s="35" t="e">
        <f t="shared" si="13"/>
        <v>#VALUE!</v>
      </c>
      <c r="H71" s="35" t="e">
        <f t="shared" si="13"/>
        <v>#VALUE!</v>
      </c>
      <c r="I71" s="35" t="e">
        <f t="shared" si="13"/>
        <v>#VALUE!</v>
      </c>
      <c r="J71" s="35" t="e">
        <f t="shared" si="13"/>
        <v>#VALUE!</v>
      </c>
      <c r="K71" s="35" t="e">
        <f t="shared" si="13"/>
        <v>#VALUE!</v>
      </c>
      <c r="L71" s="35" t="e">
        <f t="shared" si="13"/>
        <v>#VALUE!</v>
      </c>
      <c r="M71" s="12"/>
      <c r="N71" s="983"/>
      <c r="O71" s="960"/>
      <c r="P71" s="960"/>
      <c r="Q71" s="960"/>
      <c r="R71" s="960"/>
      <c r="S71" s="960"/>
      <c r="T71" s="960"/>
      <c r="U71" s="960"/>
      <c r="V71" s="961"/>
      <c r="W71" s="958"/>
      <c r="X71" s="958"/>
      <c r="Y71" s="958"/>
      <c r="Z71" s="958"/>
      <c r="AA71" s="990"/>
      <c r="AB71" s="990"/>
      <c r="AC71" s="990"/>
      <c r="AD71" s="990"/>
      <c r="AE71" s="990"/>
      <c r="AF71" s="990"/>
      <c r="AG71" s="990"/>
      <c r="AH71" s="990"/>
      <c r="AI71" s="990"/>
      <c r="AJ71" s="990"/>
      <c r="AK71" s="990"/>
      <c r="AL71" s="958"/>
      <c r="AM71" s="958"/>
      <c r="AN71" s="958"/>
      <c r="AO71" s="958"/>
      <c r="AP71" s="958"/>
      <c r="AQ71" s="958"/>
      <c r="AR71" s="958"/>
      <c r="AS71" s="958"/>
      <c r="AT71" s="958"/>
      <c r="AU71" s="958"/>
      <c r="AY71" s="987"/>
      <c r="AZ71" s="987"/>
    </row>
    <row r="72" spans="1:65" s="11" customFormat="1" ht="15">
      <c r="A72" s="36" t="s">
        <v>129</v>
      </c>
      <c r="B72" s="37">
        <f>IF(B69&lt;&gt;0,C.1*EXP(-ksource*MAX(0,(t-B$76))),0)</f>
        <v>48.613191825699964</v>
      </c>
      <c r="C72" s="37">
        <f aca="true" t="shared" si="14" ref="C72:L72">IF(C69&lt;&gt;0,C.1*EXP(-ksource*MAX(0,(t-C$76))),0)*C$64*C$66*C$68*C69/8</f>
        <v>52.46759034340758</v>
      </c>
      <c r="D72" s="37">
        <f t="shared" si="14"/>
        <v>55.12975587289124</v>
      </c>
      <c r="E72" s="37">
        <f t="shared" si="14"/>
        <v>52.36611156893577</v>
      </c>
      <c r="F72" s="37">
        <f t="shared" si="14"/>
        <v>31.4664340216554</v>
      </c>
      <c r="G72" s="37" t="e">
        <f t="shared" si="14"/>
        <v>#VALUE!</v>
      </c>
      <c r="H72" s="37" t="e">
        <f t="shared" si="14"/>
        <v>#VALUE!</v>
      </c>
      <c r="I72" s="37" t="e">
        <f t="shared" si="14"/>
        <v>#VALUE!</v>
      </c>
      <c r="J72" s="37" t="e">
        <f t="shared" si="14"/>
        <v>#VALUE!</v>
      </c>
      <c r="K72" s="37" t="e">
        <f t="shared" si="14"/>
        <v>#VALUE!</v>
      </c>
      <c r="L72" s="37" t="e">
        <f t="shared" si="14"/>
        <v>#VALUE!</v>
      </c>
      <c r="M72" s="12"/>
      <c r="N72" s="983"/>
      <c r="O72" s="960"/>
      <c r="P72" s="960"/>
      <c r="Q72" s="960"/>
      <c r="R72" s="960"/>
      <c r="S72" s="960"/>
      <c r="T72" s="960"/>
      <c r="U72" s="960"/>
      <c r="V72" s="961"/>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61"/>
      <c r="AW72" s="961"/>
      <c r="AX72" s="961"/>
      <c r="AY72" s="985"/>
      <c r="AZ72" s="985"/>
      <c r="BA72" s="961"/>
      <c r="BB72" s="961"/>
      <c r="BC72" s="961"/>
      <c r="BD72" s="961"/>
      <c r="BE72" s="961"/>
      <c r="BF72" s="961"/>
      <c r="BG72" s="960"/>
      <c r="BH72" s="960"/>
      <c r="BI72" s="960"/>
      <c r="BJ72" s="960"/>
      <c r="BK72" s="960"/>
      <c r="BL72" s="960"/>
      <c r="BM72" s="960"/>
    </row>
    <row r="73" spans="1:65" s="11" customFormat="1" ht="15">
      <c r="A73" s="36" t="s">
        <v>130</v>
      </c>
      <c r="B73" s="37">
        <f>IF(B70&lt;&gt;0,C.2*EXP(-ksource*MAX(0,(t-B$76))),0)</f>
        <v>3076.5205683978693</v>
      </c>
      <c r="C73" s="37">
        <f aca="true" t="shared" si="15" ref="C73:L73">IF(C70&lt;&gt;0,C.2*EXP(-ksource*MAX(0,(t-C$76))),0)*C$64*C$66*C$68*C70/8</f>
        <v>3320.447940685042</v>
      </c>
      <c r="D73" s="37">
        <f t="shared" si="15"/>
        <v>3487.601188630768</v>
      </c>
      <c r="E73" s="37">
        <f t="shared" si="15"/>
        <v>2649.0796273383394</v>
      </c>
      <c r="F73" s="37">
        <f t="shared" si="15"/>
        <v>1969.6948281398243</v>
      </c>
      <c r="G73" s="37" t="e">
        <f t="shared" si="15"/>
        <v>#VALUE!</v>
      </c>
      <c r="H73" s="37" t="e">
        <f t="shared" si="15"/>
        <v>#VALUE!</v>
      </c>
      <c r="I73" s="37" t="e">
        <f t="shared" si="15"/>
        <v>#VALUE!</v>
      </c>
      <c r="J73" s="37" t="e">
        <f t="shared" si="15"/>
        <v>#VALUE!</v>
      </c>
      <c r="K73" s="37" t="e">
        <f t="shared" si="15"/>
        <v>#VALUE!</v>
      </c>
      <c r="L73" s="37" t="e">
        <f t="shared" si="15"/>
        <v>#VALUE!</v>
      </c>
      <c r="M73" s="12"/>
      <c r="N73" s="983"/>
      <c r="O73" s="960"/>
      <c r="P73" s="960"/>
      <c r="Q73" s="960"/>
      <c r="R73" s="960"/>
      <c r="S73" s="960"/>
      <c r="T73" s="960"/>
      <c r="U73" s="960"/>
      <c r="V73" s="961"/>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61"/>
      <c r="AW73" s="961"/>
      <c r="AX73" s="961"/>
      <c r="AY73" s="985"/>
      <c r="AZ73" s="985"/>
      <c r="BA73" s="961"/>
      <c r="BB73" s="961"/>
      <c r="BC73" s="961"/>
      <c r="BD73" s="961"/>
      <c r="BE73" s="961"/>
      <c r="BF73" s="961"/>
      <c r="BG73" s="960"/>
      <c r="BH73" s="960"/>
      <c r="BI73" s="960"/>
      <c r="BJ73" s="960"/>
      <c r="BK73" s="960"/>
      <c r="BL73" s="960"/>
      <c r="BM73" s="960"/>
    </row>
    <row r="74" spans="1:65" s="11" customFormat="1" ht="15">
      <c r="A74" s="36" t="s">
        <v>131</v>
      </c>
      <c r="B74" s="37">
        <f>IF(B71&lt;&gt;0,C.3*EXP(-ksource*MAX(0,(t-B$76))),0)</f>
        <v>3125.1337602235694</v>
      </c>
      <c r="C74" s="37">
        <f aca="true" t="shared" si="16" ref="C74:L74">IF(C71&lt;&gt;0,C.3*EXP(-ksource*MAX(0,(t-C$76))),0)*C$64*C$66*C$68*C71/8</f>
        <v>3369.325440905618</v>
      </c>
      <c r="D74" s="37">
        <f t="shared" si="16"/>
        <v>3467.6830034010477</v>
      </c>
      <c r="E74" s="37">
        <f t="shared" si="16"/>
        <v>1334.358399282771</v>
      </c>
      <c r="F74" s="37">
        <f t="shared" si="16"/>
        <v>1838.9029060413018</v>
      </c>
      <c r="G74" s="37" t="e">
        <f t="shared" si="16"/>
        <v>#VALUE!</v>
      </c>
      <c r="H74" s="37" t="e">
        <f t="shared" si="16"/>
        <v>#VALUE!</v>
      </c>
      <c r="I74" s="37" t="e">
        <f t="shared" si="16"/>
        <v>#VALUE!</v>
      </c>
      <c r="J74" s="37" t="e">
        <f t="shared" si="16"/>
        <v>#VALUE!</v>
      </c>
      <c r="K74" s="37" t="e">
        <f t="shared" si="16"/>
        <v>#VALUE!</v>
      </c>
      <c r="L74" s="37" t="e">
        <f t="shared" si="16"/>
        <v>#VALUE!</v>
      </c>
      <c r="M74" s="12"/>
      <c r="N74" s="983"/>
      <c r="O74" s="960"/>
      <c r="P74" s="960"/>
      <c r="Q74" s="960"/>
      <c r="R74" s="960"/>
      <c r="S74" s="960"/>
      <c r="T74" s="960"/>
      <c r="U74" s="960"/>
      <c r="V74" s="961"/>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61"/>
      <c r="AW74" s="961"/>
      <c r="AX74" s="961"/>
      <c r="AY74" s="985"/>
      <c r="AZ74" s="985"/>
      <c r="BA74" s="961"/>
      <c r="BB74" s="961"/>
      <c r="BC74" s="961"/>
      <c r="BD74" s="961"/>
      <c r="BE74" s="961"/>
      <c r="BF74" s="961"/>
      <c r="BG74" s="960"/>
      <c r="BH74" s="960"/>
      <c r="BI74" s="960"/>
      <c r="BJ74" s="960"/>
      <c r="BK74" s="960"/>
      <c r="BL74" s="960"/>
      <c r="BM74" s="960"/>
    </row>
    <row r="75" spans="1:65" s="11" customFormat="1" ht="15">
      <c r="A75" s="31"/>
      <c r="B75" s="12"/>
      <c r="C75" s="35"/>
      <c r="D75" s="35"/>
      <c r="E75" s="35"/>
      <c r="F75" s="35"/>
      <c r="G75" s="35"/>
      <c r="H75" s="35"/>
      <c r="I75" s="35"/>
      <c r="J75" s="35"/>
      <c r="K75" s="35"/>
      <c r="L75" s="35"/>
      <c r="M75" s="12"/>
      <c r="N75" s="983"/>
      <c r="O75" s="960"/>
      <c r="P75" s="960"/>
      <c r="Q75" s="960"/>
      <c r="R75" s="960"/>
      <c r="S75" s="960"/>
      <c r="T75" s="960"/>
      <c r="U75" s="960"/>
      <c r="V75" s="961"/>
      <c r="W75" s="958"/>
      <c r="X75" s="958"/>
      <c r="Y75" s="958"/>
      <c r="Z75" s="958"/>
      <c r="AA75" s="958"/>
      <c r="AB75" s="958"/>
      <c r="AC75" s="958"/>
      <c r="AD75" s="958"/>
      <c r="AE75" s="958"/>
      <c r="AF75" s="958"/>
      <c r="AG75" s="958"/>
      <c r="AH75" s="958"/>
      <c r="AI75" s="958"/>
      <c r="AJ75" s="958"/>
      <c r="AK75" s="958"/>
      <c r="AL75" s="958"/>
      <c r="AM75" s="958"/>
      <c r="AN75" s="958"/>
      <c r="AO75" s="958"/>
      <c r="AP75" s="958"/>
      <c r="AQ75" s="958"/>
      <c r="AR75" s="958"/>
      <c r="AS75" s="958"/>
      <c r="AT75" s="958"/>
      <c r="AU75" s="958"/>
      <c r="AV75" s="961"/>
      <c r="AW75" s="961"/>
      <c r="AX75" s="961"/>
      <c r="AY75" s="987"/>
      <c r="AZ75" s="987"/>
      <c r="BA75" s="961"/>
      <c r="BB75" s="961"/>
      <c r="BC75" s="961"/>
      <c r="BD75" s="961"/>
      <c r="BE75" s="961"/>
      <c r="BF75" s="961"/>
      <c r="BG75" s="960"/>
      <c r="BH75" s="960"/>
      <c r="BI75" s="960"/>
      <c r="BJ75" s="960"/>
      <c r="BK75" s="960"/>
      <c r="BL75" s="960"/>
      <c r="BM75" s="960"/>
    </row>
    <row r="76" spans="1:65" s="11" customFormat="1" ht="15">
      <c r="A76" s="31" t="s">
        <v>132</v>
      </c>
      <c r="B76" s="39">
        <f aca="true" t="shared" si="17" ref="B76:L76">B62/Vc</f>
        <v>1.8047460910474608E-06</v>
      </c>
      <c r="C76" s="35">
        <f t="shared" si="17"/>
        <v>1.1369900373599002</v>
      </c>
      <c r="D76" s="35">
        <f t="shared" si="17"/>
        <v>2.346169918361699</v>
      </c>
      <c r="E76" s="35">
        <f t="shared" si="17"/>
        <v>3.4651124948111245</v>
      </c>
      <c r="F76" s="35">
        <f t="shared" si="17"/>
        <v>5.1976687422166865</v>
      </c>
      <c r="G76" s="35" t="e">
        <f t="shared" si="17"/>
        <v>#VALUE!</v>
      </c>
      <c r="H76" s="35" t="e">
        <f t="shared" si="17"/>
        <v>#VALUE!</v>
      </c>
      <c r="I76" s="35" t="e">
        <f t="shared" si="17"/>
        <v>#VALUE!</v>
      </c>
      <c r="J76" s="35" t="e">
        <f t="shared" si="17"/>
        <v>#VALUE!</v>
      </c>
      <c r="K76" s="35" t="e">
        <f t="shared" si="17"/>
        <v>#VALUE!</v>
      </c>
      <c r="L76" s="35" t="e">
        <f t="shared" si="17"/>
        <v>#VALUE!</v>
      </c>
      <c r="M76" s="12"/>
      <c r="N76" s="983"/>
      <c r="O76" s="960"/>
      <c r="P76" s="960"/>
      <c r="Q76" s="960"/>
      <c r="R76" s="960"/>
      <c r="S76" s="960"/>
      <c r="T76" s="960"/>
      <c r="U76" s="960"/>
      <c r="V76" s="961"/>
      <c r="W76" s="958"/>
      <c r="X76" s="958"/>
      <c r="Y76" s="958"/>
      <c r="Z76" s="958"/>
      <c r="AA76" s="958"/>
      <c r="AB76" s="958"/>
      <c r="AC76" s="958"/>
      <c r="AD76" s="958"/>
      <c r="AE76" s="958"/>
      <c r="AF76" s="958"/>
      <c r="AG76" s="958"/>
      <c r="AH76" s="958"/>
      <c r="AI76" s="958"/>
      <c r="AJ76" s="958"/>
      <c r="AK76" s="958"/>
      <c r="AL76" s="958"/>
      <c r="AM76" s="958"/>
      <c r="AN76" s="958"/>
      <c r="AO76" s="958"/>
      <c r="AP76" s="958"/>
      <c r="AQ76" s="958"/>
      <c r="AR76" s="958"/>
      <c r="AS76" s="958"/>
      <c r="AT76" s="958"/>
      <c r="AU76" s="958"/>
      <c r="AV76" s="961"/>
      <c r="AW76" s="961"/>
      <c r="AX76" s="961"/>
      <c r="AY76" s="987"/>
      <c r="AZ76" s="987"/>
      <c r="BA76" s="961"/>
      <c r="BB76" s="961"/>
      <c r="BC76" s="961"/>
      <c r="BD76" s="961"/>
      <c r="BE76" s="961"/>
      <c r="BF76" s="961"/>
      <c r="BG76" s="960"/>
      <c r="BH76" s="960"/>
      <c r="BI76" s="960"/>
      <c r="BJ76" s="960"/>
      <c r="BK76" s="960"/>
      <c r="BL76" s="960"/>
      <c r="BM76" s="960"/>
    </row>
    <row r="77" spans="1:65" s="11" customFormat="1" ht="15">
      <c r="A77" s="31"/>
      <c r="B77" s="35"/>
      <c r="C77" s="35"/>
      <c r="D77" s="35"/>
      <c r="E77" s="35"/>
      <c r="F77" s="35"/>
      <c r="G77" s="35"/>
      <c r="H77" s="35"/>
      <c r="I77" s="35"/>
      <c r="J77" s="35"/>
      <c r="K77" s="35"/>
      <c r="L77" s="35"/>
      <c r="M77" s="12"/>
      <c r="N77" s="983"/>
      <c r="O77" s="960"/>
      <c r="P77" s="960"/>
      <c r="Q77" s="960"/>
      <c r="R77" s="960"/>
      <c r="S77" s="960"/>
      <c r="T77" s="960"/>
      <c r="U77" s="960"/>
      <c r="V77" s="961"/>
      <c r="W77" s="958"/>
      <c r="X77" s="958"/>
      <c r="Y77" s="958"/>
      <c r="Z77" s="958"/>
      <c r="AA77" s="958"/>
      <c r="AB77" s="958"/>
      <c r="AC77" s="958"/>
      <c r="AD77" s="958"/>
      <c r="AE77" s="958"/>
      <c r="AF77" s="958"/>
      <c r="AG77" s="958"/>
      <c r="AH77" s="958"/>
      <c r="AI77" s="958"/>
      <c r="AJ77" s="958"/>
      <c r="AK77" s="958"/>
      <c r="AL77" s="958"/>
      <c r="AM77" s="958"/>
      <c r="AN77" s="958"/>
      <c r="AO77" s="958"/>
      <c r="AP77" s="958"/>
      <c r="AQ77" s="958"/>
      <c r="AR77" s="958"/>
      <c r="AS77" s="958"/>
      <c r="AT77" s="958"/>
      <c r="AU77" s="958"/>
      <c r="AV77" s="961"/>
      <c r="AW77" s="961"/>
      <c r="AX77" s="961"/>
      <c r="AY77" s="987"/>
      <c r="AZ77" s="987"/>
      <c r="BA77" s="961"/>
      <c r="BB77" s="961"/>
      <c r="BC77" s="961"/>
      <c r="BD77" s="961"/>
      <c r="BE77" s="961"/>
      <c r="BF77" s="961"/>
      <c r="BG77" s="960"/>
      <c r="BH77" s="960"/>
      <c r="BI77" s="960"/>
      <c r="BJ77" s="960"/>
      <c r="BK77" s="960"/>
      <c r="BL77" s="960"/>
      <c r="BM77" s="960"/>
    </row>
    <row r="78" spans="1:65" s="43" customFormat="1" ht="15">
      <c r="A78" s="40" t="s">
        <v>47</v>
      </c>
      <c r="B78" s="41">
        <f aca="true" t="shared" si="18" ref="B78:L78">B72+B73+B74</f>
        <v>6250.267520447139</v>
      </c>
      <c r="C78" s="41">
        <f t="shared" si="18"/>
        <v>6742.240971934068</v>
      </c>
      <c r="D78" s="41">
        <f t="shared" si="18"/>
        <v>7010.413947904706</v>
      </c>
      <c r="E78" s="41">
        <f t="shared" si="18"/>
        <v>4035.8041381900457</v>
      </c>
      <c r="F78" s="41">
        <f t="shared" si="18"/>
        <v>3840.0641682027817</v>
      </c>
      <c r="G78" s="41" t="e">
        <f t="shared" si="18"/>
        <v>#VALUE!</v>
      </c>
      <c r="H78" s="41" t="e">
        <f t="shared" si="18"/>
        <v>#VALUE!</v>
      </c>
      <c r="I78" s="41" t="e">
        <f t="shared" si="18"/>
        <v>#VALUE!</v>
      </c>
      <c r="J78" s="41" t="e">
        <f t="shared" si="18"/>
        <v>#VALUE!</v>
      </c>
      <c r="K78" s="41" t="e">
        <f t="shared" si="18"/>
        <v>#VALUE!</v>
      </c>
      <c r="L78" s="41" t="e">
        <f t="shared" si="18"/>
        <v>#VALUE!</v>
      </c>
      <c r="M78" s="42"/>
      <c r="N78" s="991"/>
      <c r="O78" s="992"/>
      <c r="P78" s="992"/>
      <c r="Q78" s="992"/>
      <c r="R78" s="992"/>
      <c r="S78" s="992"/>
      <c r="T78" s="992"/>
      <c r="U78" s="992"/>
      <c r="V78" s="993"/>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3"/>
      <c r="AW78" s="993"/>
      <c r="AX78" s="993"/>
      <c r="AY78" s="995"/>
      <c r="AZ78" s="995"/>
      <c r="BA78" s="993"/>
      <c r="BB78" s="993"/>
      <c r="BC78" s="993"/>
      <c r="BD78" s="993"/>
      <c r="BE78" s="993"/>
      <c r="BF78" s="993"/>
      <c r="BG78" s="992"/>
      <c r="BH78" s="992"/>
      <c r="BI78" s="992"/>
      <c r="BJ78" s="992"/>
      <c r="BK78" s="992"/>
      <c r="BL78" s="992"/>
      <c r="BM78" s="992"/>
    </row>
    <row r="79" spans="1:65" s="11" customFormat="1" ht="15" thickBot="1">
      <c r="A79" s="45"/>
      <c r="B79" s="46"/>
      <c r="C79" s="47"/>
      <c r="D79" s="47"/>
      <c r="E79" s="47"/>
      <c r="F79" s="47"/>
      <c r="G79" s="47"/>
      <c r="H79" s="47"/>
      <c r="I79" s="47"/>
      <c r="J79" s="47"/>
      <c r="K79" s="47"/>
      <c r="L79" s="48"/>
      <c r="M79" s="47"/>
      <c r="N79" s="996"/>
      <c r="O79" s="960"/>
      <c r="P79" s="960"/>
      <c r="Q79" s="960"/>
      <c r="R79" s="960"/>
      <c r="S79" s="960"/>
      <c r="T79" s="960"/>
      <c r="U79" s="960"/>
      <c r="V79" s="961"/>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61"/>
      <c r="AW79" s="961"/>
      <c r="AX79" s="961"/>
      <c r="AY79" s="987"/>
      <c r="AZ79" s="985"/>
      <c r="BA79" s="961"/>
      <c r="BB79" s="961"/>
      <c r="BC79" s="961"/>
      <c r="BD79" s="961"/>
      <c r="BE79" s="961"/>
      <c r="BF79" s="961"/>
      <c r="BG79" s="960"/>
      <c r="BH79" s="960"/>
      <c r="BI79" s="960"/>
      <c r="BJ79" s="960"/>
      <c r="BK79" s="960"/>
      <c r="BL79" s="960"/>
      <c r="BM79" s="960"/>
    </row>
    <row r="80" spans="1:52" ht="15">
      <c r="A80" s="26"/>
      <c r="B80" s="29"/>
      <c r="C80" s="30"/>
      <c r="D80" s="30"/>
      <c r="E80" s="30"/>
      <c r="F80" s="30"/>
      <c r="G80" s="30"/>
      <c r="H80" s="30"/>
      <c r="I80" s="30"/>
      <c r="J80" s="30"/>
      <c r="K80" s="30"/>
      <c r="L80" s="30"/>
      <c r="M80" s="30"/>
      <c r="N80" s="982"/>
      <c r="O80" s="960"/>
      <c r="P80" s="960"/>
      <c r="Q80" s="960"/>
      <c r="R80" s="960"/>
      <c r="S80" s="960"/>
      <c r="T80" s="960"/>
      <c r="U80" s="960"/>
      <c r="V80" s="961"/>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Y80" s="987"/>
      <c r="AZ80" s="987"/>
    </row>
    <row r="81" spans="1:52" ht="15">
      <c r="A81" s="31"/>
      <c r="B81" s="9"/>
      <c r="C81" s="8"/>
      <c r="D81" s="35"/>
      <c r="E81" s="35"/>
      <c r="F81" s="49" t="s">
        <v>133</v>
      </c>
      <c r="G81" s="44">
        <f>(1+4*lambda*[0]!alpha.x/[0]!Vc)^0.5</f>
        <v>1.3771653826315728</v>
      </c>
      <c r="H81" s="35"/>
      <c r="I81" s="50">
        <f>(1+4*0*[0]!alpha.x/[0]!Vc)^0.5</f>
        <v>1</v>
      </c>
      <c r="J81" s="35"/>
      <c r="K81" s="35"/>
      <c r="L81" s="35"/>
      <c r="M81" s="35">
        <f>lambda</f>
        <v>0.9230976751499496</v>
      </c>
      <c r="N81" s="983"/>
      <c r="O81" s="960"/>
      <c r="P81" s="960"/>
      <c r="Q81" s="960"/>
      <c r="R81" s="960"/>
      <c r="S81" s="960"/>
      <c r="T81" s="960"/>
      <c r="U81" s="960"/>
      <c r="V81" s="961"/>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Y81" s="987"/>
      <c r="AZ81" s="987"/>
    </row>
    <row r="82" spans="1:52" ht="15">
      <c r="A82" s="34" t="s">
        <v>134</v>
      </c>
      <c r="B82" s="9"/>
      <c r="C82" s="8"/>
      <c r="D82" s="35"/>
      <c r="E82" s="35"/>
      <c r="F82" s="35"/>
      <c r="G82" s="35"/>
      <c r="H82" s="35"/>
      <c r="I82" s="35"/>
      <c r="J82" s="35"/>
      <c r="K82" s="35"/>
      <c r="L82" s="35"/>
      <c r="M82" s="35">
        <f>alpha.x</f>
        <v>13.454496930271189</v>
      </c>
      <c r="N82" s="983"/>
      <c r="O82" s="960"/>
      <c r="P82" s="960"/>
      <c r="Q82" s="960"/>
      <c r="R82" s="960"/>
      <c r="S82" s="960"/>
      <c r="T82" s="960"/>
      <c r="U82" s="960"/>
      <c r="V82" s="961"/>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Y82" s="987"/>
      <c r="AZ82" s="987"/>
    </row>
    <row r="83" spans="1:52" ht="15">
      <c r="A83" s="36" t="s">
        <v>123</v>
      </c>
      <c r="B83" s="37">
        <f>EXP(B$62/2/[0]!alpha.x*(1-erfcconst3))</f>
        <v>0.9999985983678161</v>
      </c>
      <c r="C83" s="37">
        <f>EXP(C$62/2/[0]!alpha.x*(1-erfcconst3))</f>
        <v>0.4135284786563119</v>
      </c>
      <c r="D83" s="37">
        <f>EXP(D$62/2/[0]!alpha.x*(1-erfcconst3))</f>
        <v>0.16168211638369176</v>
      </c>
      <c r="E83" s="37">
        <f>EXP(E$62/2/[0]!alpha.x*(1-erfcconst3))</f>
        <v>0.06780389217020638</v>
      </c>
      <c r="F83" s="37">
        <f>EXP(F$62/2/[0]!alpha.x*(1-erfcconst3))</f>
        <v>0.017655577875913268</v>
      </c>
      <c r="G83" s="37" t="e">
        <f>EXP(G$62/2/[0]!alpha.x*(1-erfcconst3))</f>
        <v>#VALUE!</v>
      </c>
      <c r="H83" s="37" t="e">
        <f>EXP(H$62/2/[0]!alpha.x*(1-erfcconst3))</f>
        <v>#VALUE!</v>
      </c>
      <c r="I83" s="37" t="e">
        <f>EXP(I$62/2/[0]!alpha.x*(1-erfcconst3))</f>
        <v>#VALUE!</v>
      </c>
      <c r="J83" s="37" t="e">
        <f>EXP(J$62/2/[0]!alpha.x*(1-erfcconst3))</f>
        <v>#VALUE!</v>
      </c>
      <c r="K83" s="37" t="e">
        <f>EXP(K$62/2/[0]!alpha.x*(1-erfcconst3))</f>
        <v>#VALUE!</v>
      </c>
      <c r="L83" s="37" t="e">
        <f>EXP(L$62/2/[0]!alpha.x*(1-erfcconst3))</f>
        <v>#VALUE!</v>
      </c>
      <c r="M83" s="12">
        <f>Vc</f>
        <v>55.409456485904215</v>
      </c>
      <c r="N83" s="983"/>
      <c r="O83" s="960"/>
      <c r="P83" s="960"/>
      <c r="Q83" s="960"/>
      <c r="R83" s="960"/>
      <c r="S83" s="960"/>
      <c r="T83" s="960"/>
      <c r="U83" s="960"/>
      <c r="V83" s="961"/>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Y83" s="985"/>
      <c r="AZ83" s="985"/>
    </row>
    <row r="84" spans="1:52" ht="12.75">
      <c r="A84" s="51" t="s">
        <v>124</v>
      </c>
      <c r="B84" s="35">
        <f aca="true" t="shared" si="19" ref="B84:L84">(B$62-Vc*t*erfcconst3)/erfcconst2</f>
        <v>-3.1246343533160816</v>
      </c>
      <c r="C84" s="35">
        <f t="shared" si="19"/>
        <v>-2.6086943700886143</v>
      </c>
      <c r="D84" s="35">
        <f t="shared" si="19"/>
        <v>-2.0599954217372627</v>
      </c>
      <c r="E84" s="35">
        <f t="shared" si="19"/>
        <v>-1.5522441560986984</v>
      </c>
      <c r="F84" s="35">
        <f t="shared" si="19"/>
        <v>-0.7660486480131797</v>
      </c>
      <c r="G84" s="35" t="e">
        <f t="shared" si="19"/>
        <v>#VALUE!</v>
      </c>
      <c r="H84" s="35" t="e">
        <f t="shared" si="19"/>
        <v>#VALUE!</v>
      </c>
      <c r="I84" s="35" t="e">
        <f t="shared" si="19"/>
        <v>#VALUE!</v>
      </c>
      <c r="J84" s="35" t="e">
        <f t="shared" si="19"/>
        <v>#VALUE!</v>
      </c>
      <c r="K84" s="35" t="e">
        <f t="shared" si="19"/>
        <v>#VALUE!</v>
      </c>
      <c r="L84" s="35" t="e">
        <f t="shared" si="19"/>
        <v>#VALUE!</v>
      </c>
      <c r="M84" s="12"/>
      <c r="N84" s="983"/>
      <c r="AY84" s="987"/>
      <c r="AZ84" s="987"/>
    </row>
    <row r="85" spans="1:52" ht="12.75">
      <c r="A85" s="36" t="s">
        <v>125</v>
      </c>
      <c r="B85" s="37">
        <f aca="true" t="shared" si="20" ref="B85:L85">gerfC(B84)</f>
        <v>1.9999900795590175</v>
      </c>
      <c r="C85" s="37">
        <f t="shared" si="20"/>
        <v>1.9997750847053548</v>
      </c>
      <c r="D85" s="37">
        <f t="shared" si="20"/>
        <v>1.9964233875672224</v>
      </c>
      <c r="E85" s="37">
        <f t="shared" si="20"/>
        <v>1.9718510879868254</v>
      </c>
      <c r="F85" s="37">
        <f t="shared" si="20"/>
        <v>1.7213497165359257</v>
      </c>
      <c r="G85" s="37" t="e">
        <f t="shared" si="20"/>
        <v>#VALUE!</v>
      </c>
      <c r="H85" s="37" t="e">
        <f t="shared" si="20"/>
        <v>#VALUE!</v>
      </c>
      <c r="I85" s="37" t="e">
        <f t="shared" si="20"/>
        <v>#VALUE!</v>
      </c>
      <c r="J85" s="37" t="e">
        <f t="shared" si="20"/>
        <v>#VALUE!</v>
      </c>
      <c r="K85" s="37" t="e">
        <f t="shared" si="20"/>
        <v>#VALUE!</v>
      </c>
      <c r="L85" s="37" t="e">
        <f t="shared" si="20"/>
        <v>#VALUE!</v>
      </c>
      <c r="M85" s="12"/>
      <c r="N85" s="983"/>
      <c r="AY85" s="985"/>
      <c r="AZ85" s="985"/>
    </row>
    <row r="86" spans="1:52" ht="12.75">
      <c r="A86" s="52"/>
      <c r="B86" s="35"/>
      <c r="C86" s="35"/>
      <c r="D86" s="35"/>
      <c r="E86" s="35"/>
      <c r="F86" s="35"/>
      <c r="G86" s="35"/>
      <c r="H86" s="35"/>
      <c r="I86" s="35"/>
      <c r="J86" s="35"/>
      <c r="K86" s="35"/>
      <c r="L86" s="35"/>
      <c r="M86" s="12"/>
      <c r="N86" s="983"/>
      <c r="AY86" s="987"/>
      <c r="AZ86" s="987"/>
    </row>
    <row r="87" spans="1:65" s="55" customFormat="1" ht="12.75">
      <c r="A87" s="40"/>
      <c r="B87" s="53">
        <f>(C.1+C.2+C.3)*EXP(-ksource*MAX(0,(t-B76)))</f>
        <v>6250.267520447139</v>
      </c>
      <c r="C87" s="53">
        <f>IF(OR(C64=0,C66=0),0,C78*C83*C85/C64/C66)</f>
        <v>2806.2794325871914</v>
      </c>
      <c r="D87" s="53">
        <f aca="true" t="shared" si="21" ref="D87:L87">IF(OR(D64=0,D66=0),0,D78*D83*D85/D64/D66)</f>
        <v>1183.8500003042566</v>
      </c>
      <c r="E87" s="53">
        <f t="shared" si="21"/>
        <v>322.0675547713727</v>
      </c>
      <c r="F87" s="53">
        <f t="shared" si="21"/>
        <v>129.80814196104893</v>
      </c>
      <c r="G87" s="53" t="e">
        <f t="shared" si="21"/>
        <v>#VALUE!</v>
      </c>
      <c r="H87" s="53" t="e">
        <f t="shared" si="21"/>
        <v>#VALUE!</v>
      </c>
      <c r="I87" s="53" t="e">
        <f t="shared" si="21"/>
        <v>#VALUE!</v>
      </c>
      <c r="J87" s="53" t="e">
        <f t="shared" si="21"/>
        <v>#VALUE!</v>
      </c>
      <c r="K87" s="53" t="e">
        <f t="shared" si="21"/>
        <v>#VALUE!</v>
      </c>
      <c r="L87" s="53" t="e">
        <f t="shared" si="21"/>
        <v>#VALUE!</v>
      </c>
      <c r="M87" s="42"/>
      <c r="N87" s="991"/>
      <c r="O87" s="997"/>
      <c r="P87" s="997"/>
      <c r="Q87" s="997"/>
      <c r="R87" s="997"/>
      <c r="S87" s="997"/>
      <c r="T87" s="997"/>
      <c r="U87" s="997"/>
      <c r="V87" s="995"/>
      <c r="W87" s="995"/>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5"/>
      <c r="AZ87" s="995"/>
      <c r="BA87" s="998"/>
      <c r="BB87" s="998"/>
      <c r="BC87" s="998"/>
      <c r="BD87" s="998"/>
      <c r="BE87" s="998"/>
      <c r="BF87" s="998"/>
      <c r="BG87" s="999"/>
      <c r="BH87" s="999"/>
      <c r="BI87" s="999"/>
      <c r="BJ87" s="999"/>
      <c r="BK87" s="999"/>
      <c r="BL87" s="999"/>
      <c r="BM87" s="999"/>
    </row>
    <row r="88" spans="1:52" ht="13.5" thickBot="1">
      <c r="A88" s="56"/>
      <c r="B88" s="46"/>
      <c r="C88" s="47"/>
      <c r="D88" s="47"/>
      <c r="E88" s="47"/>
      <c r="F88" s="47"/>
      <c r="G88" s="47"/>
      <c r="H88" s="47"/>
      <c r="I88" s="47"/>
      <c r="J88" s="47"/>
      <c r="K88" s="47"/>
      <c r="L88" s="47"/>
      <c r="M88" s="47"/>
      <c r="N88" s="996"/>
      <c r="AY88" s="987"/>
      <c r="AZ88" s="987"/>
    </row>
    <row r="89" spans="1:52" ht="12.75">
      <c r="A89" s="14"/>
      <c r="B89" s="14"/>
      <c r="C89" s="7"/>
      <c r="N89" s="960"/>
      <c r="AY89" s="987"/>
      <c r="AZ89" s="987"/>
    </row>
    <row r="90" spans="1:52" ht="12.75">
      <c r="A90" s="14"/>
      <c r="B90" s="14"/>
      <c r="C90" s="7"/>
      <c r="AY90" s="987"/>
      <c r="AZ90" s="987"/>
    </row>
    <row r="91" spans="51:52" ht="12.75">
      <c r="AY91" s="987"/>
      <c r="AZ91" s="987"/>
    </row>
    <row r="92" spans="1:52" ht="12.75">
      <c r="A92" s="13" t="s">
        <v>135</v>
      </c>
      <c r="AY92" s="987"/>
      <c r="AZ92" s="987"/>
    </row>
    <row r="93" spans="1:52" ht="12.75">
      <c r="A93" s="11"/>
      <c r="B93" s="11"/>
      <c r="C93" s="11"/>
      <c r="D93" s="11"/>
      <c r="E93" s="11"/>
      <c r="F93" s="11"/>
      <c r="G93" s="11"/>
      <c r="H93" s="11"/>
      <c r="I93" s="11"/>
      <c r="J93" s="11"/>
      <c r="K93" s="11"/>
      <c r="L93" s="11"/>
      <c r="M93" s="11"/>
      <c r="N93" s="960"/>
      <c r="AY93" s="961"/>
      <c r="AZ93" s="961"/>
    </row>
    <row r="94" spans="1:52" ht="12.75">
      <c r="A94" s="11"/>
      <c r="B94" s="11">
        <f>(C.1*EXP(-ksource*MAX(0,(t-B$76))))</f>
        <v>48.613191825699964</v>
      </c>
      <c r="C94" s="11"/>
      <c r="D94" s="11"/>
      <c r="E94" s="11"/>
      <c r="F94" s="11"/>
      <c r="G94" s="11"/>
      <c r="H94" s="11"/>
      <c r="I94" s="11"/>
      <c r="J94" s="11"/>
      <c r="K94" s="11"/>
      <c r="L94" s="11"/>
      <c r="M94" s="11"/>
      <c r="AY94" s="961"/>
      <c r="AZ94" s="961"/>
    </row>
    <row r="95" spans="1:52" ht="12.75">
      <c r="A95" s="11"/>
      <c r="B95" s="11"/>
      <c r="C95" s="11"/>
      <c r="D95" s="11"/>
      <c r="E95" s="11"/>
      <c r="F95" s="11"/>
      <c r="G95" s="11"/>
      <c r="H95" s="11"/>
      <c r="I95" s="11"/>
      <c r="J95" s="11"/>
      <c r="K95" s="11"/>
      <c r="L95" s="11"/>
      <c r="M95" s="11"/>
      <c r="AY95" s="961"/>
      <c r="AZ95" s="961"/>
    </row>
    <row r="96" spans="1:52" ht="12.75">
      <c r="A96" s="11"/>
      <c r="B96" s="11">
        <f>IF(C.1=0,0,1/1)+IF(C.2=0,0,bioc.2*EXP(-ksourceinst*MAX(0,(t-B$76)))/(C.2*EXP(-ksourceinst*MAX(0,(t-B$76))))*B73)+IF(C.3=0,0,bioc.3*EXP(-ksourceinst*MAX(0,(t-B$76)))/(C.3*EXP(-ksource*MAX(0,(t-B$76))))*B74)</f>
        <v>4735.216173119679</v>
      </c>
      <c r="C96" s="11"/>
      <c r="D96" s="11"/>
      <c r="E96" s="11"/>
      <c r="F96" s="11"/>
      <c r="G96" s="11"/>
      <c r="H96" s="11"/>
      <c r="I96" s="11"/>
      <c r="J96" s="11"/>
      <c r="K96" s="11"/>
      <c r="L96" s="11"/>
      <c r="AY96" s="961"/>
      <c r="AZ96" s="961"/>
    </row>
    <row r="97" spans="1:52" ht="12.75">
      <c r="A97" s="11"/>
      <c r="B97" s="57">
        <f>1/EXP(-ksourceinst)</f>
        <v>1.2210728552341146</v>
      </c>
      <c r="C97" s="11"/>
      <c r="D97" s="11"/>
      <c r="E97" s="11"/>
      <c r="F97" s="11"/>
      <c r="G97" s="11"/>
      <c r="H97" s="11"/>
      <c r="I97" s="11"/>
      <c r="J97" s="11"/>
      <c r="K97" s="11"/>
      <c r="L97" s="11"/>
      <c r="AY97" s="961"/>
      <c r="AZ97" s="961"/>
    </row>
    <row r="98" spans="1:52" ht="12.75">
      <c r="A98" s="11"/>
      <c r="B98" s="58">
        <f>1/EXP(-ksourceinst)</f>
        <v>1.2210728552341146</v>
      </c>
      <c r="C98" s="11"/>
      <c r="D98" s="11"/>
      <c r="E98" s="11"/>
      <c r="F98" s="11"/>
      <c r="G98" s="11"/>
      <c r="H98" s="11"/>
      <c r="I98" s="11"/>
      <c r="J98" s="11"/>
      <c r="K98" s="11"/>
      <c r="L98" s="11"/>
      <c r="AY98" s="961"/>
      <c r="AZ98" s="961"/>
    </row>
    <row r="99" spans="1:52" ht="12.75">
      <c r="A99" s="11"/>
      <c r="B99" s="11"/>
      <c r="C99" s="11"/>
      <c r="D99" s="11"/>
      <c r="E99" s="11"/>
      <c r="F99" s="11"/>
      <c r="G99" s="11"/>
      <c r="H99" s="11"/>
      <c r="I99" s="11"/>
      <c r="J99" s="11"/>
      <c r="K99" s="11"/>
      <c r="L99" s="11"/>
      <c r="AY99" s="961"/>
      <c r="AZ99" s="961"/>
    </row>
    <row r="100" spans="1:52" ht="12.75">
      <c r="A100" s="11"/>
      <c r="B100" s="11"/>
      <c r="C100" s="11"/>
      <c r="D100" s="11"/>
      <c r="E100" s="11"/>
      <c r="F100" s="11"/>
      <c r="G100" s="11"/>
      <c r="H100" s="11"/>
      <c r="I100" s="11"/>
      <c r="J100" s="11"/>
      <c r="K100" s="11"/>
      <c r="L100" s="11"/>
      <c r="AY100" s="961"/>
      <c r="AZ100" s="961"/>
    </row>
    <row r="101" spans="7:52" ht="12.75">
      <c r="G101" s="59"/>
      <c r="N101" s="960"/>
      <c r="AY101" s="987"/>
      <c r="AZ101" s="987"/>
    </row>
    <row r="102" spans="1:52" ht="12.75">
      <c r="A102" s="11" t="s">
        <v>136</v>
      </c>
      <c r="B102" s="11"/>
      <c r="C102" s="60" t="s">
        <v>137</v>
      </c>
      <c r="D102" s="60">
        <f>IF(C.1=0,0,C.1+biodegcap)</f>
        <v>7944.3</v>
      </c>
      <c r="E102" s="11" t="s">
        <v>138</v>
      </c>
      <c r="F102" s="11"/>
      <c r="G102" s="11"/>
      <c r="H102" s="11"/>
      <c r="I102" s="11"/>
      <c r="J102" s="11"/>
      <c r="K102" s="11"/>
      <c r="L102" s="11"/>
      <c r="M102" s="11"/>
      <c r="N102" s="960"/>
      <c r="AY102" s="961"/>
      <c r="AZ102" s="961"/>
    </row>
    <row r="103" spans="1:52" ht="12.75">
      <c r="A103" s="11" t="s">
        <v>139</v>
      </c>
      <c r="B103" s="11"/>
      <c r="C103" s="61" t="s">
        <v>140</v>
      </c>
      <c r="D103" s="60">
        <f>IF(C.2=0,0,IF(C.1=0,C.2+biodegcap,C.2))</f>
        <v>4430</v>
      </c>
      <c r="E103" s="11" t="s">
        <v>141</v>
      </c>
      <c r="F103" s="11"/>
      <c r="G103" s="11"/>
      <c r="H103" s="11"/>
      <c r="I103" s="11"/>
      <c r="J103" s="11"/>
      <c r="K103" s="11"/>
      <c r="L103" s="11"/>
      <c r="M103" s="11"/>
      <c r="N103" s="960"/>
      <c r="AY103" s="961"/>
      <c r="AZ103" s="961"/>
    </row>
    <row r="104" spans="1:52" ht="12.75">
      <c r="A104" s="11" t="s">
        <v>142</v>
      </c>
      <c r="B104" s="11"/>
      <c r="C104" s="61" t="s">
        <v>143</v>
      </c>
      <c r="D104" s="60">
        <f>IF(C.3=0,0,IF(C.2=0,C.3+biodegcap,C.3))</f>
        <v>4500</v>
      </c>
      <c r="E104" s="11"/>
      <c r="F104" s="11"/>
      <c r="G104" s="57"/>
      <c r="H104" s="57"/>
      <c r="I104" s="57"/>
      <c r="J104" s="57"/>
      <c r="K104" s="57"/>
      <c r="L104" s="57"/>
      <c r="M104" s="57"/>
      <c r="N104" s="960"/>
      <c r="AY104" s="1000"/>
      <c r="AZ104" s="1000"/>
    </row>
    <row r="105" spans="1:52" ht="12.75">
      <c r="A105" s="11" t="s">
        <v>144</v>
      </c>
      <c r="B105" s="11"/>
      <c r="C105" s="11"/>
      <c r="D105" s="57"/>
      <c r="E105" s="11"/>
      <c r="F105" s="11"/>
      <c r="G105" s="57"/>
      <c r="H105" s="57"/>
      <c r="I105" s="57"/>
      <c r="J105" s="57"/>
      <c r="K105" s="57"/>
      <c r="L105" s="57"/>
      <c r="M105" s="57"/>
      <c r="N105" s="960"/>
      <c r="AY105" s="1000"/>
      <c r="AZ105" s="1000"/>
    </row>
    <row r="106" spans="1:52" ht="12.75">
      <c r="A106" s="11"/>
      <c r="B106" s="11"/>
      <c r="C106" s="11"/>
      <c r="D106" s="57"/>
      <c r="E106" s="57"/>
      <c r="F106" s="57"/>
      <c r="G106" s="57"/>
      <c r="H106" s="57"/>
      <c r="I106" s="57"/>
      <c r="J106" s="57"/>
      <c r="K106" s="57"/>
      <c r="L106" s="57"/>
      <c r="M106" s="57"/>
      <c r="N106" s="960"/>
      <c r="AY106" s="1000"/>
      <c r="AZ106" s="1000"/>
    </row>
    <row r="107" spans="1:52" ht="12.75">
      <c r="A107" s="11" t="s">
        <v>145</v>
      </c>
      <c r="B107" s="60">
        <f aca="true" t="shared" si="22" ref="B107:L107">IF(C.1=0,0,bioc.1*EXP(-ksourceinst*MAX(0,(t-B$76)))/(C.1*EXP(-ksource*MAX(0,(t-B$76))))*B72)+IF(C.2=0,0,bioc.2*EXP(-ksourceinst*MAX(0,(t-B$76)))/(C.2*EXP(-ksourceinst*MAX(0,(t-B$76))))*B73)+IF(C.3=0,0,bioc.3*EXP(-ksourceinst*MAX(0,(t-B$76)))/(C.3*EXP(-ksource*MAX(0,(t-B$76))))*B74)</f>
        <v>7660.711993695562</v>
      </c>
      <c r="C107" s="60">
        <f t="shared" si="22"/>
        <v>9033.25555658571</v>
      </c>
      <c r="D107" s="60">
        <f t="shared" si="22"/>
        <v>10433.159639731628</v>
      </c>
      <c r="E107" s="60">
        <f t="shared" si="22"/>
        <v>8639.330691988833</v>
      </c>
      <c r="F107" s="60">
        <f t="shared" si="22"/>
        <v>7379.723331298797</v>
      </c>
      <c r="G107" s="60" t="e">
        <f t="shared" si="22"/>
        <v>#VALUE!</v>
      </c>
      <c r="H107" s="60" t="e">
        <f t="shared" si="22"/>
        <v>#VALUE!</v>
      </c>
      <c r="I107" s="60" t="e">
        <f t="shared" si="22"/>
        <v>#VALUE!</v>
      </c>
      <c r="J107" s="60" t="e">
        <f t="shared" si="22"/>
        <v>#VALUE!</v>
      </c>
      <c r="K107" s="60" t="e">
        <f t="shared" si="22"/>
        <v>#VALUE!</v>
      </c>
      <c r="L107" s="60" t="e">
        <f t="shared" si="22"/>
        <v>#VALUE!</v>
      </c>
      <c r="M107" s="11"/>
      <c r="N107" s="960"/>
      <c r="AY107" s="1001"/>
      <c r="AZ107" s="1001"/>
    </row>
    <row r="108" spans="1:52" ht="12.75">
      <c r="A108" s="11" t="s">
        <v>139</v>
      </c>
      <c r="B108" s="11"/>
      <c r="C108" s="57"/>
      <c r="D108" s="57"/>
      <c r="E108" s="57"/>
      <c r="F108" s="57"/>
      <c r="G108" s="57"/>
      <c r="H108" s="57"/>
      <c r="I108" s="57"/>
      <c r="J108" s="57"/>
      <c r="K108" s="57"/>
      <c r="L108" s="57"/>
      <c r="M108" s="11"/>
      <c r="N108" s="960"/>
      <c r="AY108" s="1000"/>
      <c r="AZ108" s="1000"/>
    </row>
    <row r="109" spans="1:52" ht="12.75">
      <c r="A109" s="11"/>
      <c r="B109" s="11"/>
      <c r="C109" s="57"/>
      <c r="D109" s="57"/>
      <c r="E109" s="57"/>
      <c r="F109" s="57"/>
      <c r="G109" s="57"/>
      <c r="H109" s="57"/>
      <c r="I109" s="57"/>
      <c r="J109" s="57"/>
      <c r="K109" s="57"/>
      <c r="L109" s="57"/>
      <c r="M109" s="11"/>
      <c r="AY109" s="1000"/>
      <c r="AZ109" s="1000"/>
    </row>
    <row r="110" spans="1:65" s="55" customFormat="1" ht="12.75">
      <c r="A110" s="55" t="s">
        <v>139</v>
      </c>
      <c r="B110" s="62">
        <f aca="true" t="shared" si="23" ref="B110:L110">MAX(0,B107-biodegcap)</f>
        <v>0</v>
      </c>
      <c r="C110" s="62">
        <f t="shared" si="23"/>
        <v>1158.955556585709</v>
      </c>
      <c r="D110" s="62">
        <f t="shared" si="23"/>
        <v>2558.859639731628</v>
      </c>
      <c r="E110" s="62">
        <f t="shared" si="23"/>
        <v>765.0306919888326</v>
      </c>
      <c r="F110" s="62">
        <f t="shared" si="23"/>
        <v>0</v>
      </c>
      <c r="G110" s="62" t="e">
        <f t="shared" si="23"/>
        <v>#VALUE!</v>
      </c>
      <c r="H110" s="62" t="e">
        <f t="shared" si="23"/>
        <v>#VALUE!</v>
      </c>
      <c r="I110" s="62" t="e">
        <f t="shared" si="23"/>
        <v>#VALUE!</v>
      </c>
      <c r="J110" s="62" t="e">
        <f t="shared" si="23"/>
        <v>#VALUE!</v>
      </c>
      <c r="K110" s="62" t="e">
        <f t="shared" si="23"/>
        <v>#VALUE!</v>
      </c>
      <c r="L110" s="63" t="e">
        <f t="shared" si="23"/>
        <v>#VALUE!</v>
      </c>
      <c r="M110" s="43"/>
      <c r="N110" s="997"/>
      <c r="O110" s="997"/>
      <c r="P110" s="997"/>
      <c r="Q110" s="997"/>
      <c r="R110" s="997"/>
      <c r="S110" s="997"/>
      <c r="T110" s="997"/>
      <c r="U110" s="997"/>
      <c r="V110" s="995"/>
      <c r="W110" s="995"/>
      <c r="X110" s="998"/>
      <c r="Y110" s="998"/>
      <c r="Z110" s="998"/>
      <c r="AA110" s="998"/>
      <c r="AB110" s="998"/>
      <c r="AC110" s="998"/>
      <c r="AD110" s="998"/>
      <c r="AE110" s="998"/>
      <c r="AF110" s="998"/>
      <c r="AG110" s="998"/>
      <c r="AH110" s="998"/>
      <c r="AI110" s="998"/>
      <c r="AJ110" s="998"/>
      <c r="AK110" s="998"/>
      <c r="AL110" s="998"/>
      <c r="AM110" s="998"/>
      <c r="AN110" s="998"/>
      <c r="AO110" s="998"/>
      <c r="AP110" s="998"/>
      <c r="AQ110" s="998"/>
      <c r="AR110" s="998"/>
      <c r="AS110" s="998"/>
      <c r="AT110" s="998"/>
      <c r="AU110" s="998"/>
      <c r="AV110" s="998"/>
      <c r="AW110" s="998"/>
      <c r="AX110" s="998"/>
      <c r="AY110" s="995"/>
      <c r="AZ110" s="995"/>
      <c r="BA110" s="998"/>
      <c r="BB110" s="998"/>
      <c r="BC110" s="998"/>
      <c r="BD110" s="998"/>
      <c r="BE110" s="998"/>
      <c r="BF110" s="998"/>
      <c r="BG110" s="999"/>
      <c r="BH110" s="999"/>
      <c r="BI110" s="999"/>
      <c r="BJ110" s="999"/>
      <c r="BK110" s="999"/>
      <c r="BL110" s="999"/>
      <c r="BM110" s="999"/>
    </row>
    <row r="111" spans="51:52" ht="12.75">
      <c r="AY111" s="987"/>
      <c r="AZ111" s="987"/>
    </row>
    <row r="112" spans="3:52" ht="12.75">
      <c r="C112" s="11"/>
      <c r="D112" s="11"/>
      <c r="E112" s="11"/>
      <c r="F112" s="11"/>
      <c r="AY112" s="987"/>
      <c r="AZ112" s="987"/>
    </row>
    <row r="113" spans="3:6" ht="13.5" thickBot="1">
      <c r="C113" s="11"/>
      <c r="D113" s="11"/>
      <c r="E113" s="11"/>
      <c r="F113" s="11"/>
    </row>
    <row r="114" spans="1:12" ht="12.75">
      <c r="A114" s="26" t="s">
        <v>194</v>
      </c>
      <c r="B114" s="64"/>
      <c r="C114" s="27"/>
      <c r="D114" s="27"/>
      <c r="E114" s="27"/>
      <c r="F114" s="27"/>
      <c r="G114" s="30"/>
      <c r="H114" s="30"/>
      <c r="I114" s="30"/>
      <c r="J114" s="30"/>
      <c r="K114" s="30"/>
      <c r="L114" s="65"/>
    </row>
    <row r="115" spans="1:12" ht="12.75">
      <c r="A115" s="31"/>
      <c r="B115" s="9"/>
      <c r="C115" s="12"/>
      <c r="D115" s="12"/>
      <c r="E115" s="12"/>
      <c r="F115" s="12"/>
      <c r="G115" s="35"/>
      <c r="H115" s="35"/>
      <c r="I115" s="35"/>
      <c r="J115" s="35"/>
      <c r="K115" s="35"/>
      <c r="L115" s="66"/>
    </row>
    <row r="116" spans="1:12" ht="12.75">
      <c r="A116" s="31" t="s">
        <v>195</v>
      </c>
      <c r="B116" s="67">
        <f>B13</f>
        <v>6500</v>
      </c>
      <c r="C116" s="67">
        <f aca="true" t="shared" si="24" ref="C116:L116">C13</f>
        <v>3600</v>
      </c>
      <c r="D116" s="67">
        <f t="shared" si="24"/>
        <v>1100</v>
      </c>
      <c r="E116" s="67">
        <f t="shared" si="24"/>
        <v>250</v>
      </c>
      <c r="F116" s="67">
        <f t="shared" si="24"/>
        <v>10</v>
      </c>
      <c r="G116" s="67">
        <f t="shared" si="24"/>
      </c>
      <c r="H116" s="67">
        <f t="shared" si="24"/>
      </c>
      <c r="I116" s="67">
        <f t="shared" si="24"/>
      </c>
      <c r="J116" s="67">
        <f t="shared" si="24"/>
      </c>
      <c r="K116" s="67">
        <f t="shared" si="24"/>
      </c>
      <c r="L116" s="68">
        <f t="shared" si="24"/>
      </c>
    </row>
    <row r="117" spans="1:12" ht="12.75">
      <c r="A117" s="31" t="s">
        <v>196</v>
      </c>
      <c r="B117" s="67">
        <f>B11</f>
        <v>6250.267520447139</v>
      </c>
      <c r="C117" s="67">
        <f aca="true" t="shared" si="25" ref="C117:L117">C11</f>
        <v>2806.2794325871914</v>
      </c>
      <c r="D117" s="67">
        <f t="shared" si="25"/>
        <v>1183.8500003042566</v>
      </c>
      <c r="E117" s="67">
        <f t="shared" si="25"/>
        <v>322.0675547713727</v>
      </c>
      <c r="F117" s="67">
        <f t="shared" si="25"/>
        <v>129.80814196104893</v>
      </c>
      <c r="G117" s="67">
        <f t="shared" si="25"/>
      </c>
      <c r="H117" s="67">
        <f t="shared" si="25"/>
      </c>
      <c r="I117" s="67">
        <f t="shared" si="25"/>
      </c>
      <c r="J117" s="67">
        <f t="shared" si="25"/>
      </c>
      <c r="K117" s="67">
        <f t="shared" si="25"/>
      </c>
      <c r="L117" s="68">
        <f t="shared" si="25"/>
      </c>
    </row>
    <row r="118" spans="1:12" ht="12.75">
      <c r="A118" s="31" t="s">
        <v>197</v>
      </c>
      <c r="B118" s="69">
        <f>1</f>
        <v>1</v>
      </c>
      <c r="C118" s="69">
        <f>IF(ISERROR(C116/$B$116),#N/A,C116/$B$116)</f>
        <v>0.5538461538461539</v>
      </c>
      <c r="D118" s="69">
        <f aca="true" t="shared" si="26" ref="D118:L118">IF(ISERROR(D116/$B$116),#N/A,D116/$B$116)</f>
        <v>0.16923076923076924</v>
      </c>
      <c r="E118" s="69">
        <f t="shared" si="26"/>
        <v>0.038461538461538464</v>
      </c>
      <c r="F118" s="69">
        <f t="shared" si="26"/>
        <v>0.0015384615384615385</v>
      </c>
      <c r="G118" s="69" t="e">
        <f t="shared" si="26"/>
        <v>#N/A</v>
      </c>
      <c r="H118" s="69" t="e">
        <f t="shared" si="26"/>
        <v>#N/A</v>
      </c>
      <c r="I118" s="69" t="e">
        <f t="shared" si="26"/>
        <v>#N/A</v>
      </c>
      <c r="J118" s="69" t="e">
        <f t="shared" si="26"/>
        <v>#N/A</v>
      </c>
      <c r="K118" s="69" t="e">
        <f t="shared" si="26"/>
        <v>#N/A</v>
      </c>
      <c r="L118" s="69" t="e">
        <f t="shared" si="26"/>
        <v>#N/A</v>
      </c>
    </row>
    <row r="119" spans="1:12" ht="12.75">
      <c r="A119" s="31" t="s">
        <v>408</v>
      </c>
      <c r="B119" s="69">
        <v>1</v>
      </c>
      <c r="C119" s="69">
        <f>IF(ISERROR(C117/$B$117),#N/A,C117/$B$117)</f>
        <v>0.44898549116605374</v>
      </c>
      <c r="D119" s="69">
        <f aca="true" t="shared" si="27" ref="D119:L119">IF(ISERROR(D117/$B$117),#N/A,D117/$B$117)</f>
        <v>0.18940789277121453</v>
      </c>
      <c r="E119" s="69">
        <f t="shared" si="27"/>
        <v>0.051528603170625936</v>
      </c>
      <c r="F119" s="69">
        <f t="shared" si="27"/>
        <v>0.020768413757714255</v>
      </c>
      <c r="G119" s="69" t="e">
        <f t="shared" si="27"/>
        <v>#N/A</v>
      </c>
      <c r="H119" s="69" t="e">
        <f t="shared" si="27"/>
        <v>#N/A</v>
      </c>
      <c r="I119" s="69" t="e">
        <f t="shared" si="27"/>
        <v>#N/A</v>
      </c>
      <c r="J119" s="69" t="e">
        <f t="shared" si="27"/>
        <v>#N/A</v>
      </c>
      <c r="K119" s="69" t="e">
        <f t="shared" si="27"/>
        <v>#N/A</v>
      </c>
      <c r="L119" s="69" t="e">
        <f t="shared" si="27"/>
        <v>#N/A</v>
      </c>
    </row>
    <row r="120" spans="1:12" ht="12.75">
      <c r="A120" s="31" t="s">
        <v>410</v>
      </c>
      <c r="B120" s="69">
        <v>1</v>
      </c>
      <c r="C120" s="69">
        <f>IF(ISERROR(C78/$B$78),#N/A,C78/$B$78)</f>
        <v>1.0787123830904015</v>
      </c>
      <c r="D120" s="69">
        <f aca="true" t="shared" si="28" ref="D120:L120">IF(ISERROR(D78/$B$78),#N/A,D78/$B$78)</f>
        <v>1.1216182227353986</v>
      </c>
      <c r="E120" s="69">
        <f t="shared" si="28"/>
        <v>0.6457010239941422</v>
      </c>
      <c r="F120" s="69">
        <f t="shared" si="28"/>
        <v>0.6143839692685773</v>
      </c>
      <c r="G120" s="69" t="e">
        <f t="shared" si="28"/>
        <v>#N/A</v>
      </c>
      <c r="H120" s="69" t="e">
        <f t="shared" si="28"/>
        <v>#N/A</v>
      </c>
      <c r="I120" s="69" t="e">
        <f t="shared" si="28"/>
        <v>#N/A</v>
      </c>
      <c r="J120" s="69" t="e">
        <f t="shared" si="28"/>
        <v>#N/A</v>
      </c>
      <c r="K120" s="69" t="e">
        <f t="shared" si="28"/>
        <v>#N/A</v>
      </c>
      <c r="L120" s="69" t="e">
        <f t="shared" si="28"/>
        <v>#N/A</v>
      </c>
    </row>
    <row r="121" spans="1:12" ht="12.75">
      <c r="A121" s="70" t="s">
        <v>369</v>
      </c>
      <c r="B121" s="9"/>
      <c r="C121" s="8"/>
      <c r="D121" s="35"/>
      <c r="E121" s="35"/>
      <c r="F121" s="35"/>
      <c r="G121" s="35"/>
      <c r="H121" s="35"/>
      <c r="I121" s="35"/>
      <c r="J121" s="35"/>
      <c r="K121" s="35"/>
      <c r="L121" s="35"/>
    </row>
    <row r="122" spans="1:12" ht="12.75">
      <c r="A122" s="9"/>
      <c r="B122" s="9"/>
      <c r="C122" s="8"/>
      <c r="D122" s="35" t="s">
        <v>395</v>
      </c>
      <c r="E122" s="35"/>
      <c r="F122" s="35"/>
      <c r="G122" s="35"/>
      <c r="H122" s="35"/>
      <c r="I122" s="35"/>
      <c r="J122" s="35"/>
      <c r="K122" s="35"/>
      <c r="L122" s="35"/>
    </row>
    <row r="123" spans="1:12" ht="12.75">
      <c r="A123" s="71" t="s">
        <v>198</v>
      </c>
      <c r="B123" s="71"/>
      <c r="C123" s="32">
        <v>3</v>
      </c>
      <c r="D123" s="72">
        <f>CHITEST($B$118:$D$118,B119:D119)</f>
        <v>0.9867684927028779</v>
      </c>
      <c r="E123" s="73"/>
      <c r="F123" s="73" t="s">
        <v>397</v>
      </c>
      <c r="G123" s="33">
        <f>COUNT(B119:L119)</f>
        <v>5</v>
      </c>
      <c r="H123" s="73"/>
      <c r="I123" s="35"/>
      <c r="J123" s="35"/>
      <c r="K123" s="35"/>
      <c r="L123" s="35"/>
    </row>
    <row r="124" spans="1:12" ht="12.75">
      <c r="A124" s="71" t="s">
        <v>394</v>
      </c>
      <c r="B124" s="71"/>
      <c r="C124" s="32">
        <v>4</v>
      </c>
      <c r="D124" s="72">
        <f>CHITEST($B$118:$E$118,B119:E119)</f>
        <v>0.9986335721225247</v>
      </c>
      <c r="E124" s="73"/>
      <c r="F124" s="73" t="s">
        <v>396</v>
      </c>
      <c r="G124" s="74">
        <f>VLOOKUP(G123,C123:D131,2,FALSE)</f>
        <v>0.9997193860819114</v>
      </c>
      <c r="H124" s="73"/>
      <c r="I124" s="35"/>
      <c r="J124" s="35"/>
      <c r="K124" s="35"/>
      <c r="L124" s="35"/>
    </row>
    <row r="125" spans="1:12" ht="12.75">
      <c r="A125" s="71"/>
      <c r="B125" s="71"/>
      <c r="C125" s="32">
        <v>5</v>
      </c>
      <c r="D125" s="72">
        <f>CHITEST($B$118:$F$118,B119:F119)</f>
        <v>0.9997193860819114</v>
      </c>
      <c r="E125" s="73"/>
      <c r="F125" s="73"/>
      <c r="G125" s="73"/>
      <c r="H125" s="73"/>
      <c r="I125" s="35"/>
      <c r="J125" s="35"/>
      <c r="K125" s="35"/>
      <c r="L125" s="35"/>
    </row>
    <row r="126" spans="1:12" ht="12.75">
      <c r="A126" s="71"/>
      <c r="B126" s="71"/>
      <c r="C126" s="32">
        <v>6</v>
      </c>
      <c r="D126" s="72" t="e">
        <f>CHITEST($B$118:$G$118,B119:G119)</f>
        <v>#N/A</v>
      </c>
      <c r="E126" s="73"/>
      <c r="F126" s="73"/>
      <c r="G126" s="73"/>
      <c r="H126" s="73"/>
      <c r="I126" s="35"/>
      <c r="J126" s="35"/>
      <c r="K126" s="35"/>
      <c r="L126" s="35"/>
    </row>
    <row r="127" spans="1:12" ht="12.75">
      <c r="A127" s="71"/>
      <c r="B127" s="71"/>
      <c r="C127" s="32">
        <v>7</v>
      </c>
      <c r="D127" s="72" t="e">
        <f>CHITEST($B$118:$H$118,B119:H119)</f>
        <v>#N/A</v>
      </c>
      <c r="E127" s="73"/>
      <c r="F127" s="73"/>
      <c r="G127" s="73"/>
      <c r="H127" s="73"/>
      <c r="I127" s="35"/>
      <c r="J127" s="35"/>
      <c r="K127" s="35"/>
      <c r="L127" s="35"/>
    </row>
    <row r="128" spans="1:12" ht="12.75">
      <c r="A128" s="71"/>
      <c r="B128" s="71"/>
      <c r="C128" s="32">
        <v>8</v>
      </c>
      <c r="D128" s="72" t="e">
        <f>CHITEST($B$118:$I$118,B119:I119)</f>
        <v>#N/A</v>
      </c>
      <c r="E128" s="73"/>
      <c r="F128" s="73"/>
      <c r="G128" s="73"/>
      <c r="H128" s="73"/>
      <c r="I128" s="35"/>
      <c r="J128" s="35"/>
      <c r="K128" s="35"/>
      <c r="L128" s="35"/>
    </row>
    <row r="129" spans="1:12" ht="12.75">
      <c r="A129" s="71"/>
      <c r="B129" s="71"/>
      <c r="C129" s="32">
        <v>9</v>
      </c>
      <c r="D129" s="72" t="e">
        <f>CHITEST($B$118:$J$118,B119:J119)</f>
        <v>#N/A</v>
      </c>
      <c r="E129" s="73"/>
      <c r="F129" s="73"/>
      <c r="G129" s="73"/>
      <c r="H129" s="73"/>
      <c r="I129" s="35"/>
      <c r="J129" s="35"/>
      <c r="K129" s="35"/>
      <c r="L129" s="35"/>
    </row>
    <row r="130" spans="1:12" ht="12.75">
      <c r="A130" s="71"/>
      <c r="B130" s="71"/>
      <c r="C130" s="32">
        <v>10</v>
      </c>
      <c r="D130" s="72" t="e">
        <f>CHITEST($B$118:$K$118,B119:K119)</f>
        <v>#N/A</v>
      </c>
      <c r="E130" s="73"/>
      <c r="F130" s="73"/>
      <c r="G130" s="73"/>
      <c r="H130" s="73"/>
      <c r="I130" s="35"/>
      <c r="J130" s="35"/>
      <c r="K130" s="35"/>
      <c r="L130" s="35"/>
    </row>
    <row r="131" spans="1:12" ht="12.75">
      <c r="A131" s="71"/>
      <c r="B131" s="71"/>
      <c r="C131" s="32">
        <v>11</v>
      </c>
      <c r="D131" s="72" t="e">
        <f>CHITEST($B$118:$L$118,B119:L119)</f>
        <v>#N/A</v>
      </c>
      <c r="E131" s="73"/>
      <c r="F131" s="73"/>
      <c r="G131" s="73"/>
      <c r="H131" s="73"/>
      <c r="I131" s="35"/>
      <c r="J131" s="35"/>
      <c r="K131" s="35"/>
      <c r="L131" s="35"/>
    </row>
    <row r="132" spans="1:12" ht="12.75">
      <c r="A132" s="9"/>
      <c r="B132" s="9"/>
      <c r="C132" s="8"/>
      <c r="D132" s="75"/>
      <c r="E132" s="35"/>
      <c r="F132" s="35"/>
      <c r="G132" s="35"/>
      <c r="H132" s="35"/>
      <c r="I132" s="35"/>
      <c r="J132" s="35"/>
      <c r="K132" s="35"/>
      <c r="L132" s="35"/>
    </row>
    <row r="133" spans="1:12" ht="12.75">
      <c r="A133" s="76" t="s">
        <v>199</v>
      </c>
      <c r="B133" s="76"/>
      <c r="C133" s="77" t="s">
        <v>393</v>
      </c>
      <c r="D133" s="72">
        <f>CHITEST(B116:L116,B117:L117)</f>
        <v>9.252148344440684E-73</v>
      </c>
      <c r="E133" s="35"/>
      <c r="F133" s="35"/>
      <c r="G133" s="35"/>
      <c r="H133" s="35"/>
      <c r="I133" s="35"/>
      <c r="J133" s="35"/>
      <c r="K133" s="35"/>
      <c r="L133" s="35"/>
    </row>
    <row r="134" spans="1:12" ht="12.75">
      <c r="A134" s="9"/>
      <c r="B134" s="9"/>
      <c r="C134" s="8"/>
      <c r="D134" s="78"/>
      <c r="E134" s="35"/>
      <c r="F134" s="35"/>
      <c r="G134" s="35"/>
      <c r="H134" s="35"/>
      <c r="I134" s="35"/>
      <c r="J134" s="35"/>
      <c r="K134" s="35"/>
      <c r="L134" s="35"/>
    </row>
    <row r="135" ht="12.75">
      <c r="D135" s="79"/>
    </row>
    <row r="136" spans="1:12" ht="12.75">
      <c r="A136" s="80" t="s">
        <v>370</v>
      </c>
      <c r="B136" s="9"/>
      <c r="C136" s="8"/>
      <c r="D136" s="35"/>
      <c r="E136" s="35"/>
      <c r="F136" s="35"/>
      <c r="G136" s="35"/>
      <c r="H136" s="35"/>
      <c r="I136" s="35"/>
      <c r="J136" s="35"/>
      <c r="K136" s="35"/>
      <c r="L136" s="35"/>
    </row>
    <row r="137" spans="1:12" ht="12.75">
      <c r="A137" s="9" t="s">
        <v>371</v>
      </c>
      <c r="B137" s="54">
        <f>IF(B110=0,1,B110)</f>
        <v>1</v>
      </c>
      <c r="C137" s="54">
        <f>IF(C110=0,1,C110)</f>
        <v>1158.955556585709</v>
      </c>
      <c r="D137" s="54">
        <f aca="true" t="shared" si="29" ref="D137:L137">IF(D110=0,1,D110)</f>
        <v>2558.859639731628</v>
      </c>
      <c r="E137" s="54">
        <f t="shared" si="29"/>
        <v>765.0306919888326</v>
      </c>
      <c r="F137" s="54">
        <f t="shared" si="29"/>
        <v>1</v>
      </c>
      <c r="G137" s="54" t="e">
        <f t="shared" si="29"/>
        <v>#VALUE!</v>
      </c>
      <c r="H137" s="54" t="e">
        <f t="shared" si="29"/>
        <v>#VALUE!</v>
      </c>
      <c r="I137" s="54" t="e">
        <f t="shared" si="29"/>
        <v>#VALUE!</v>
      </c>
      <c r="J137" s="54" t="e">
        <f t="shared" si="29"/>
        <v>#VALUE!</v>
      </c>
      <c r="K137" s="54" t="e">
        <f t="shared" si="29"/>
        <v>#VALUE!</v>
      </c>
      <c r="L137" s="54" t="e">
        <f t="shared" si="29"/>
        <v>#VALUE!</v>
      </c>
    </row>
    <row r="138" spans="1:12" ht="12.75">
      <c r="A138" s="9" t="s">
        <v>409</v>
      </c>
      <c r="B138" s="9">
        <v>1</v>
      </c>
      <c r="C138" s="44">
        <f>IF(ISERROR(C137/$B$137),#N/A,C137/$B$137)</f>
        <v>1158.955556585709</v>
      </c>
      <c r="D138" s="44">
        <f aca="true" t="shared" si="30" ref="D138:L138">IF(ISERROR(D137/$B$137),#N/A,D137/$B$137)</f>
        <v>2558.859639731628</v>
      </c>
      <c r="E138" s="44">
        <f t="shared" si="30"/>
        <v>765.0306919888326</v>
      </c>
      <c r="F138" s="44">
        <f t="shared" si="30"/>
        <v>1</v>
      </c>
      <c r="G138" s="44" t="e">
        <f t="shared" si="30"/>
        <v>#N/A</v>
      </c>
      <c r="H138" s="44" t="e">
        <f t="shared" si="30"/>
        <v>#N/A</v>
      </c>
      <c r="I138" s="44" t="e">
        <f t="shared" si="30"/>
        <v>#N/A</v>
      </c>
      <c r="J138" s="44" t="e">
        <f t="shared" si="30"/>
        <v>#N/A</v>
      </c>
      <c r="K138" s="44" t="e">
        <f t="shared" si="30"/>
        <v>#N/A</v>
      </c>
      <c r="L138" s="44" t="e">
        <f t="shared" si="30"/>
        <v>#N/A</v>
      </c>
    </row>
    <row r="139" spans="1:12" ht="12.75">
      <c r="A139" s="9"/>
      <c r="B139" s="9"/>
      <c r="C139" s="44"/>
      <c r="D139" s="44"/>
      <c r="E139" s="44"/>
      <c r="F139" s="44"/>
      <c r="G139" s="44"/>
      <c r="H139" s="44"/>
      <c r="I139" s="44"/>
      <c r="J139" s="44"/>
      <c r="K139" s="44"/>
      <c r="L139" s="44"/>
    </row>
    <row r="140" spans="1:12" ht="12.75">
      <c r="A140" s="76"/>
      <c r="B140" s="76"/>
      <c r="C140" s="77"/>
      <c r="D140" s="81" t="s">
        <v>398</v>
      </c>
      <c r="E140" s="81"/>
      <c r="F140" s="81"/>
      <c r="G140" s="81"/>
      <c r="H140" s="35"/>
      <c r="I140" s="35"/>
      <c r="J140" s="35"/>
      <c r="K140" s="35"/>
      <c r="L140" s="35"/>
    </row>
    <row r="141" spans="1:12" ht="12.75">
      <c r="A141" s="76" t="s">
        <v>198</v>
      </c>
      <c r="B141" s="76"/>
      <c r="C141" s="77">
        <v>3</v>
      </c>
      <c r="D141" s="74">
        <f>CHITEST($B$118:$D$118,B138:D138)</f>
        <v>0</v>
      </c>
      <c r="E141" s="81"/>
      <c r="F141" s="81"/>
      <c r="G141" s="81"/>
      <c r="H141" s="35"/>
      <c r="I141" s="35"/>
      <c r="J141" s="35"/>
      <c r="K141" s="35"/>
      <c r="L141" s="35"/>
    </row>
    <row r="142" spans="1:12" ht="12.75">
      <c r="A142" s="76"/>
      <c r="B142" s="76"/>
      <c r="C142" s="77">
        <v>4</v>
      </c>
      <c r="D142" s="74">
        <f>CHITEST($B$118:$E$118,B138:E138)</f>
        <v>0</v>
      </c>
      <c r="E142" s="81"/>
      <c r="F142" s="81"/>
      <c r="G142" s="81"/>
      <c r="H142" s="35"/>
      <c r="I142" s="35"/>
      <c r="J142" s="35"/>
      <c r="K142" s="35"/>
      <c r="L142" s="35"/>
    </row>
    <row r="143" spans="1:12" ht="12.75">
      <c r="A143" s="76"/>
      <c r="B143" s="76"/>
      <c r="C143" s="77">
        <v>5</v>
      </c>
      <c r="D143" s="74">
        <f>CHITEST($B$118:$F$118,B138:F138)</f>
        <v>0</v>
      </c>
      <c r="E143" s="81"/>
      <c r="F143" s="81" t="s">
        <v>397</v>
      </c>
      <c r="G143" s="81">
        <f>G123</f>
        <v>5</v>
      </c>
      <c r="H143" s="35"/>
      <c r="I143" s="35"/>
      <c r="J143" s="35"/>
      <c r="K143" s="35"/>
      <c r="L143" s="35"/>
    </row>
    <row r="144" spans="1:12" ht="12.75">
      <c r="A144" s="76"/>
      <c r="B144" s="76"/>
      <c r="C144" s="77">
        <v>6</v>
      </c>
      <c r="D144" s="74" t="e">
        <f>CHITEST($B$118:$G$118,B138:G138)</f>
        <v>#N/A</v>
      </c>
      <c r="E144" s="81"/>
      <c r="F144" s="81" t="s">
        <v>400</v>
      </c>
      <c r="G144" s="74">
        <f>VLOOKUP(G143,C141:D149,2,FALSE)</f>
        <v>0</v>
      </c>
      <c r="H144" s="35"/>
      <c r="I144" s="35"/>
      <c r="J144" s="35"/>
      <c r="K144" s="35"/>
      <c r="L144" s="35"/>
    </row>
    <row r="145" spans="1:12" ht="12.75">
      <c r="A145" s="76"/>
      <c r="B145" s="76"/>
      <c r="C145" s="77">
        <v>7</v>
      </c>
      <c r="D145" s="74" t="e">
        <f>CHITEST($B$118:$H$118,B138:H138)</f>
        <v>#N/A</v>
      </c>
      <c r="E145" s="81"/>
      <c r="F145" s="81"/>
      <c r="G145" s="81"/>
      <c r="H145" s="35"/>
      <c r="I145" s="35"/>
      <c r="J145" s="35"/>
      <c r="K145" s="35"/>
      <c r="L145" s="35"/>
    </row>
    <row r="146" spans="1:12" ht="12.75">
      <c r="A146" s="76"/>
      <c r="B146" s="76"/>
      <c r="C146" s="77">
        <v>8</v>
      </c>
      <c r="D146" s="74" t="e">
        <f>CHITEST($B$118:$I$118,B138:I138)</f>
        <v>#N/A</v>
      </c>
      <c r="E146" s="81"/>
      <c r="F146" s="81"/>
      <c r="G146" s="81"/>
      <c r="H146" s="35"/>
      <c r="I146" s="35"/>
      <c r="J146" s="35"/>
      <c r="K146" s="35"/>
      <c r="L146" s="35"/>
    </row>
    <row r="147" spans="1:12" ht="12.75">
      <c r="A147" s="76" t="s">
        <v>399</v>
      </c>
      <c r="B147" s="76"/>
      <c r="C147" s="77">
        <v>9</v>
      </c>
      <c r="D147" s="74" t="e">
        <f>CHITEST($B$118:$J$118,B138:J138)</f>
        <v>#N/A</v>
      </c>
      <c r="E147" s="81"/>
      <c r="F147" s="81"/>
      <c r="G147" s="81"/>
      <c r="H147" s="35"/>
      <c r="I147" s="35"/>
      <c r="J147" s="35"/>
      <c r="K147" s="35"/>
      <c r="L147" s="35"/>
    </row>
    <row r="148" spans="1:12" ht="12.75">
      <c r="A148" s="76"/>
      <c r="B148" s="76"/>
      <c r="C148" s="77">
        <v>10</v>
      </c>
      <c r="D148" s="74" t="e">
        <f>CHITEST($B$118:$K$118,B138:K138)</f>
        <v>#N/A</v>
      </c>
      <c r="E148" s="81"/>
      <c r="F148" s="81"/>
      <c r="G148" s="81"/>
      <c r="H148" s="35"/>
      <c r="I148" s="35"/>
      <c r="J148" s="35"/>
      <c r="K148" s="35"/>
      <c r="L148" s="35"/>
    </row>
    <row r="149" spans="1:12" ht="12.75">
      <c r="A149" s="76"/>
      <c r="B149" s="76"/>
      <c r="C149" s="77">
        <v>11</v>
      </c>
      <c r="D149" s="74" t="e">
        <f>CHITEST($B$118:$L$118,B138:L138)</f>
        <v>#N/A</v>
      </c>
      <c r="E149" s="81"/>
      <c r="F149" s="81"/>
      <c r="G149" s="81"/>
      <c r="H149" s="35"/>
      <c r="I149" s="35"/>
      <c r="J149" s="35"/>
      <c r="K149" s="35"/>
      <c r="L149" s="35"/>
    </row>
    <row r="152" spans="1:12" ht="12.75">
      <c r="A152" s="10" t="s">
        <v>552</v>
      </c>
      <c r="B152" s="10">
        <f>IF(ISBLANK(Input!J26),"",Input!J26)</f>
        <v>0</v>
      </c>
      <c r="C152" s="10">
        <f>IF(ISBLANK(Input!K26),"",Input!K26)</f>
        <v>10</v>
      </c>
      <c r="D152" s="10">
        <f>IF(ISBLANK(Input!L26),"",Input!L26)</f>
        <v>12</v>
      </c>
      <c r="E152" s="10">
        <f>IF(ISBLANK(Input!M26),"",Input!M26)</f>
        <v>56</v>
      </c>
      <c r="F152" s="10">
        <f>IF(ISBLANK(Input!N26),"",Input!N26)</f>
        <v>10</v>
      </c>
      <c r="G152" s="10">
        <f>IF(ISBLANK(Input!O26),"",Input!O26)</f>
      </c>
      <c r="H152" s="10">
        <f>IF(ISBLANK(Input!P26),"",Input!P26)</f>
      </c>
      <c r="I152" s="10">
        <f>IF(ISBLANK(Input!Q26),"",Input!Q26)</f>
      </c>
      <c r="J152" s="10">
        <f>IF(ISBLANK(Input!R26),"",Input!R26)</f>
      </c>
      <c r="K152" s="10">
        <f>IF(ISBLANK(Input!S26),"",Input!S26)</f>
      </c>
      <c r="L152" s="10">
        <f>IF(ISBLANK(Input!T26),"",Input!T26)</f>
      </c>
    </row>
    <row r="154" spans="2:12" ht="12.75">
      <c r="B154" s="82" t="str">
        <f>IF(ISBLANK(Input!J24),"",Input!J24)</f>
        <v>MW-1</v>
      </c>
      <c r="C154" s="82" t="str">
        <f>IF(ISBLANK(Input!K24),"",Input!K24)</f>
        <v>MW-2</v>
      </c>
      <c r="D154" s="82" t="str">
        <f>IF(ISBLANK(Input!L24),"",Input!L24)</f>
        <v>MW-3</v>
      </c>
      <c r="E154" s="82" t="str">
        <f>IF(ISBLANK(Input!M24),"",Input!M24)</f>
        <v>MW-4</v>
      </c>
      <c r="F154" s="82" t="str">
        <f>IF(ISBLANK(Input!N24),"",Input!N24)</f>
        <v>MW-5</v>
      </c>
      <c r="G154" s="82">
        <f>IF(ISBLANK(Input!O24),"",Input!O24)</f>
      </c>
      <c r="H154" s="82">
        <f>IF(ISBLANK(Input!P24),"",Input!P24)</f>
      </c>
      <c r="I154" s="82">
        <f>IF(ISBLANK(Input!Q24),"",Input!Q24)</f>
      </c>
      <c r="J154" s="82">
        <f>IF(ISBLANK(Input!R24),"",Input!R24)</f>
      </c>
      <c r="K154" s="82">
        <f>IF(ISBLANK(Input!S24),"",Input!S24)</f>
      </c>
      <c r="L154" s="82">
        <f>IF(ISBLANK(Input!T24),"",Input!T24)</f>
      </c>
    </row>
    <row r="155" spans="1:12" ht="12.75">
      <c r="A155" s="76" t="s">
        <v>391</v>
      </c>
      <c r="B155" s="82">
        <f>IF(ISBLANK(Input!J25),"",Input!J25)</f>
        <v>0</v>
      </c>
      <c r="C155" s="82">
        <f>IF(ISBLANK(Input!K25),"",Input!K25)</f>
        <v>63</v>
      </c>
      <c r="D155" s="82">
        <f>IF(ISBLANK(Input!L25),"",Input!L25)</f>
        <v>130</v>
      </c>
      <c r="E155" s="82">
        <f>IF(ISBLANK(Input!M25),"",Input!M25)</f>
        <v>192</v>
      </c>
      <c r="F155" s="82">
        <f>IF(ISBLANK(Input!N25),"",Input!N25)</f>
        <v>288</v>
      </c>
      <c r="G155" s="82">
        <f>IF(ISBLANK(Input!O25),"",Input!O25)</f>
      </c>
      <c r="H155" s="82">
        <f>IF(ISBLANK(Input!P25),"",Input!P25)</f>
      </c>
      <c r="I155" s="82">
        <f>IF(ISBLANK(Input!Q25),"",Input!Q25)</f>
      </c>
      <c r="J155" s="82">
        <f>IF(ISBLANK(Input!R25),"",Input!R25)</f>
      </c>
      <c r="K155" s="82">
        <f>IF(ISBLANK(Input!S25),"",Input!S25)</f>
      </c>
      <c r="L155" s="82">
        <f>IF(ISBLANK(Input!T25),"",Input!T25)</f>
      </c>
    </row>
    <row r="156" spans="1:12" ht="12.75">
      <c r="A156" s="83" t="s">
        <v>114</v>
      </c>
      <c r="B156" s="77">
        <f>IF(ISBLANK(Input!J27),"",B78)</f>
        <v>6250.267520447139</v>
      </c>
      <c r="C156" s="77">
        <f>IF(ISBLANK(Input!K27),"",C78)</f>
        <v>6742.240971934068</v>
      </c>
      <c r="D156" s="77">
        <f>IF(ISBLANK(Input!L27),"",D78)</f>
        <v>7010.413947904706</v>
      </c>
      <c r="E156" s="77">
        <f>IF(ISBLANK(Input!M27),"",E78)</f>
        <v>4035.8041381900457</v>
      </c>
      <c r="F156" s="77">
        <f>IF(ISBLANK(Input!N27),"",F78)</f>
        <v>3840.0641682027817</v>
      </c>
      <c r="G156" s="77">
        <f>IF(ISBLANK(Input!O27),"",G78)</f>
      </c>
      <c r="H156" s="77">
        <f>IF(ISBLANK(Input!P27),"",H78)</f>
      </c>
      <c r="I156" s="77">
        <f>IF(ISBLANK(Input!Q27),"",I78)</f>
      </c>
      <c r="J156" s="77">
        <f>IF(ISBLANK(Input!R27),"",J78)</f>
      </c>
      <c r="K156" s="77">
        <f>IF(ISBLANK(Input!S27),"",K78)</f>
      </c>
      <c r="L156" s="77">
        <f>IF(ISBLANK(Input!T27),"",L78)</f>
      </c>
    </row>
    <row r="157" spans="1:12" ht="12.75">
      <c r="A157" s="84" t="s">
        <v>115</v>
      </c>
      <c r="B157" s="77">
        <f>IF(ISBLANK(Input!J27),"",B87)</f>
        <v>6250.267520447139</v>
      </c>
      <c r="C157" s="77">
        <f>IF(ISBLANK(Input!K27),"",C87)</f>
        <v>2806.2794325871914</v>
      </c>
      <c r="D157" s="77">
        <f>IF(ISBLANK(Input!L27),"",D87)</f>
        <v>1183.8500003042566</v>
      </c>
      <c r="E157" s="77">
        <f>IF(ISBLANK(Input!M27),"",E87)</f>
        <v>322.0675547713727</v>
      </c>
      <c r="F157" s="77">
        <f>IF(ISBLANK(Input!N27),"",F87)</f>
        <v>129.80814196104893</v>
      </c>
      <c r="G157" s="77">
        <f>IF(ISBLANK(Input!O27),"",G87)</f>
      </c>
      <c r="H157" s="77">
        <f>IF(ISBLANK(Input!P27),"",H87)</f>
      </c>
      <c r="I157" s="77">
        <f>IF(ISBLANK(Input!Q27),"",I87)</f>
      </c>
      <c r="J157" s="77">
        <f>IF(ISBLANK(Input!R27),"",J87)</f>
      </c>
      <c r="K157" s="77">
        <f>IF(ISBLANK(Input!S27),"",K87)</f>
      </c>
      <c r="L157" s="77">
        <f>IF(ISBLANK(Input!T27),"",L87)</f>
      </c>
    </row>
    <row r="158" spans="1:12" ht="12.75">
      <c r="A158" s="85" t="s">
        <v>116</v>
      </c>
      <c r="B158" s="77">
        <f>IF(ISBLANK(Input!J27),"",B110)</f>
        <v>0</v>
      </c>
      <c r="C158" s="77">
        <f>IF(ISBLANK(Input!K27),"",C110)</f>
        <v>1158.955556585709</v>
      </c>
      <c r="D158" s="77">
        <f>IF(ISBLANK(Input!L27),"",D110)</f>
        <v>2558.859639731628</v>
      </c>
      <c r="E158" s="77">
        <f>IF(ISBLANK(Input!M27),"",E110)</f>
        <v>765.0306919888326</v>
      </c>
      <c r="F158" s="77">
        <f>IF(ISBLANK(Input!N27),"",F110)</f>
        <v>0</v>
      </c>
      <c r="G158" s="77">
        <f>IF(ISBLANK(Input!O27),"",G110)</f>
      </c>
      <c r="H158" s="77">
        <f>IF(ISBLANK(Input!P27),"",H110)</f>
      </c>
      <c r="I158" s="77">
        <f>IF(ISBLANK(Input!Q27),"",I110)</f>
      </c>
      <c r="J158" s="77">
        <f>IF(ISBLANK(Input!R27),"",J110)</f>
      </c>
      <c r="K158" s="77">
        <f>IF(ISBLANK(Input!S27),"",K110)</f>
      </c>
      <c r="L158" s="77">
        <f>IF(ISBLANK(Input!T27),"",L110)</f>
      </c>
    </row>
    <row r="159" spans="1:12" ht="12.75">
      <c r="A159" s="86" t="s">
        <v>117</v>
      </c>
      <c r="B159" s="77">
        <f>IF(ISBLANK(Input!J27),"",Input!J27)</f>
        <v>6500</v>
      </c>
      <c r="C159" s="77">
        <f>IF(ISBLANK(Input!K27),"",Input!K27)</f>
        <v>3600</v>
      </c>
      <c r="D159" s="77">
        <f>IF(ISBLANK(Input!L27),"",Input!L27)</f>
        <v>1100</v>
      </c>
      <c r="E159" s="77">
        <f>IF(ISBLANK(Input!M27),"",Input!M27)</f>
        <v>250</v>
      </c>
      <c r="F159" s="77">
        <f>IF(ISBLANK(Input!N27),"",Input!N27)</f>
        <v>10</v>
      </c>
      <c r="G159" s="77">
        <f>IF(ISBLANK(Input!O27),"",Input!O27)</f>
      </c>
      <c r="H159" s="77">
        <f>IF(ISBLANK(Input!P27),"",Input!P27)</f>
      </c>
      <c r="I159" s="77">
        <f>IF(ISBLANK(Input!Q27),"",Input!Q27)</f>
      </c>
      <c r="J159" s="77">
        <f>IF(ISBLANK(Input!R27),"",Input!R27)</f>
      </c>
      <c r="K159" s="77">
        <f>IF(ISBLANK(Input!S27),"",Input!S27)</f>
      </c>
      <c r="L159" s="77">
        <f>IF(ISBLANK(Input!T27),"",Input!T27)</f>
      </c>
    </row>
    <row r="161" spans="1:13" ht="12.75">
      <c r="A161" s="957" t="s">
        <v>412</v>
      </c>
      <c r="B161" s="957"/>
      <c r="C161" s="954"/>
      <c r="D161" s="953"/>
      <c r="E161" s="953"/>
      <c r="F161" s="953"/>
      <c r="G161" s="953"/>
      <c r="H161" s="953"/>
      <c r="I161" s="953"/>
      <c r="J161" s="953"/>
      <c r="K161" s="953"/>
      <c r="L161" s="953"/>
      <c r="M161" s="953"/>
    </row>
    <row r="162" spans="1:13" ht="12.75">
      <c r="A162" s="957"/>
      <c r="B162" s="1002" t="str">
        <f>IF(ISBLANK(Input!J24),#N/A,Input!J24)</f>
        <v>MW-1</v>
      </c>
      <c r="C162" s="1002" t="str">
        <f>IF(ISBLANK(Input!K24),#N/A,Input!K24)</f>
        <v>MW-2</v>
      </c>
      <c r="D162" s="1002" t="str">
        <f>IF(ISBLANK(Input!L24),#N/A,Input!L24)</f>
        <v>MW-3</v>
      </c>
      <c r="E162" s="1002" t="str">
        <f>IF(ISBLANK(Input!M24),#N/A,Input!M24)</f>
        <v>MW-4</v>
      </c>
      <c r="F162" s="1002" t="str">
        <f>IF(ISBLANK(Input!N24),#N/A,Input!N24)</f>
        <v>MW-5</v>
      </c>
      <c r="G162" s="1002" t="e">
        <f>IF(ISBLANK(Input!O24),#N/A,Input!O24)</f>
        <v>#N/A</v>
      </c>
      <c r="H162" s="1002" t="e">
        <f>IF(ISBLANK(Input!P24),#N/A,Input!P24)</f>
        <v>#N/A</v>
      </c>
      <c r="I162" s="1002" t="e">
        <f>IF(ISBLANK(Input!Q24),#N/A,Input!Q24)</f>
        <v>#N/A</v>
      </c>
      <c r="J162" s="1002" t="e">
        <f>IF(ISBLANK(Input!R24),#N/A,Input!R24)</f>
        <v>#N/A</v>
      </c>
      <c r="K162" s="1002" t="e">
        <f>IF(ISBLANK(Input!S24),#N/A,Input!S24)</f>
        <v>#N/A</v>
      </c>
      <c r="L162" s="1002" t="e">
        <f>IF(ISBLANK(Input!T24),#N/A,Input!T24)</f>
        <v>#N/A</v>
      </c>
      <c r="M162" s="953"/>
    </row>
    <row r="163" spans="1:13" ht="12.75">
      <c r="A163" s="1003" t="s">
        <v>391</v>
      </c>
      <c r="B163" s="1002">
        <f>IF(ISBLANK(Input!J25),#N/A,Input!J25)</f>
        <v>0</v>
      </c>
      <c r="C163" s="1002">
        <f>IF(ISBLANK(Input!K25),#N/A,Input!K25)</f>
        <v>63</v>
      </c>
      <c r="D163" s="1002">
        <f>IF(ISBLANK(Input!L25),#N/A,Input!L25)</f>
        <v>130</v>
      </c>
      <c r="E163" s="1002">
        <f>IF(ISBLANK(Input!M25),#N/A,Input!M25)</f>
        <v>192</v>
      </c>
      <c r="F163" s="1002">
        <f>IF(ISBLANK(Input!N25),#N/A,Input!N25)</f>
        <v>288</v>
      </c>
      <c r="G163" s="1002" t="e">
        <f>IF(ISBLANK(Input!O25),#N/A,Input!O25)</f>
        <v>#N/A</v>
      </c>
      <c r="H163" s="1002" t="e">
        <f>IF(ISBLANK(Input!P25),#N/A,Input!P25)</f>
        <v>#N/A</v>
      </c>
      <c r="I163" s="1002" t="e">
        <f>IF(ISBLANK(Input!Q25),#N/A,Input!Q25)</f>
        <v>#N/A</v>
      </c>
      <c r="J163" s="1002" t="e">
        <f>IF(ISBLANK(Input!R25),#N/A,Input!R25)</f>
        <v>#N/A</v>
      </c>
      <c r="K163" s="1002" t="e">
        <f>IF(ISBLANK(Input!S25),#N/A,Input!S25)</f>
        <v>#N/A</v>
      </c>
      <c r="L163" s="1002" t="e">
        <f>IF(ISBLANK(Input!T25),#N/A,Input!T25)</f>
        <v>#N/A</v>
      </c>
      <c r="M163" s="953"/>
    </row>
    <row r="164" spans="1:13" ht="12.75">
      <c r="A164" s="1004" t="s">
        <v>114</v>
      </c>
      <c r="B164" s="1005">
        <f>IF(ISBLANK(Input!J27),#N/A,B78)</f>
        <v>6250.267520447139</v>
      </c>
      <c r="C164" s="1005">
        <f>IF(ISBLANK(Input!K27),#N/A,C78)</f>
        <v>6742.240971934068</v>
      </c>
      <c r="D164" s="1005">
        <f>IF(ISBLANK(Input!L27),#N/A,D78)</f>
        <v>7010.413947904706</v>
      </c>
      <c r="E164" s="1005">
        <f>IF(ISBLANK(Input!M27),#N/A,E78)</f>
        <v>4035.8041381900457</v>
      </c>
      <c r="F164" s="1005">
        <f>IF(ISBLANK(Input!N27),#N/A,F78)</f>
        <v>3840.0641682027817</v>
      </c>
      <c r="G164" s="1005" t="e">
        <f>IF(ISBLANK(Input!O27),#N/A,G78)</f>
        <v>#N/A</v>
      </c>
      <c r="H164" s="1005" t="e">
        <f>IF(ISBLANK(Input!P27),#N/A,H78)</f>
        <v>#N/A</v>
      </c>
      <c r="I164" s="1005" t="e">
        <f>IF(ISBLANK(Input!Q27),#N/A,I78)</f>
        <v>#N/A</v>
      </c>
      <c r="J164" s="1005" t="e">
        <f>IF(ISBLANK(Input!R27),#N/A,J78)</f>
        <v>#N/A</v>
      </c>
      <c r="K164" s="1005" t="e">
        <f>IF(ISBLANK(Input!S27),#N/A,K78)</f>
        <v>#N/A</v>
      </c>
      <c r="L164" s="1005" t="e">
        <f>IF(ISBLANK(Input!T27),#N/A,L78)</f>
        <v>#N/A</v>
      </c>
      <c r="M164" s="953"/>
    </row>
    <row r="165" spans="1:13" ht="12.75">
      <c r="A165" s="1006" t="s">
        <v>115</v>
      </c>
      <c r="B165" s="1005">
        <f>IF(ISBLANK(Input!J27),#N/A,B87)</f>
        <v>6250.267520447139</v>
      </c>
      <c r="C165" s="1005">
        <f>IF(ISBLANK(Input!K27),#N/A,C87)</f>
        <v>2806.2794325871914</v>
      </c>
      <c r="D165" s="1005">
        <f>IF(ISBLANK(Input!L27),#N/A,D87)</f>
        <v>1183.8500003042566</v>
      </c>
      <c r="E165" s="1005">
        <f>IF(ISBLANK(Input!M27),#N/A,E87)</f>
        <v>322.0675547713727</v>
      </c>
      <c r="F165" s="1005">
        <f>IF(ISBLANK(Input!N27),#N/A,F87)</f>
        <v>129.80814196104893</v>
      </c>
      <c r="G165" s="1005" t="e">
        <f>IF(ISBLANK(Input!O27),#N/A,G87)</f>
        <v>#N/A</v>
      </c>
      <c r="H165" s="1005" t="e">
        <f>IF(ISBLANK(Input!P27),#N/A,H87)</f>
        <v>#N/A</v>
      </c>
      <c r="I165" s="1005" t="e">
        <f>IF(ISBLANK(Input!Q27),#N/A,I87)</f>
        <v>#N/A</v>
      </c>
      <c r="J165" s="1005" t="e">
        <f>IF(ISBLANK(Input!R27),#N/A,J87)</f>
        <v>#N/A</v>
      </c>
      <c r="K165" s="1005" t="e">
        <f>IF(ISBLANK(Input!S27),#N/A,K87)</f>
        <v>#N/A</v>
      </c>
      <c r="L165" s="1005" t="e">
        <f>IF(ISBLANK(Input!T27),#N/A,L87)</f>
        <v>#N/A</v>
      </c>
      <c r="M165" s="953"/>
    </row>
    <row r="166" spans="1:13" ht="12.75">
      <c r="A166" s="1007" t="s">
        <v>116</v>
      </c>
      <c r="B166" s="1005">
        <f>IF(ISBLANK(Input!J27),#N/A,B110)</f>
        <v>0</v>
      </c>
      <c r="C166" s="1005">
        <f>IF(ISBLANK(Input!K27),#N/A,C110)</f>
        <v>1158.955556585709</v>
      </c>
      <c r="D166" s="1005">
        <f>IF(ISBLANK(Input!L27),#N/A,D110)</f>
        <v>2558.859639731628</v>
      </c>
      <c r="E166" s="1005">
        <f>IF(ISBLANK(Input!M27),#N/A,E110)</f>
        <v>765.0306919888326</v>
      </c>
      <c r="F166" s="1005">
        <f>IF(ISBLANK(Input!N27),#N/A,F110)</f>
        <v>0</v>
      </c>
      <c r="G166" s="1005" t="e">
        <f>IF(ISBLANK(Input!O27),#N/A,G110)</f>
        <v>#N/A</v>
      </c>
      <c r="H166" s="1005" t="e">
        <f>IF(ISBLANK(Input!P27),#N/A,H110)</f>
        <v>#N/A</v>
      </c>
      <c r="I166" s="1005" t="e">
        <f>IF(ISBLANK(Input!Q27),#N/A,I110)</f>
        <v>#N/A</v>
      </c>
      <c r="J166" s="1005" t="e">
        <f>IF(ISBLANK(Input!R27),#N/A,J110)</f>
        <v>#N/A</v>
      </c>
      <c r="K166" s="1005" t="e">
        <f>IF(ISBLANK(Input!S27),#N/A,K110)</f>
        <v>#N/A</v>
      </c>
      <c r="L166" s="1005" t="e">
        <f>IF(ISBLANK(Input!T27),#N/A,L110)</f>
        <v>#N/A</v>
      </c>
      <c r="M166" s="953"/>
    </row>
    <row r="167" spans="1:13" ht="12.75">
      <c r="A167" s="1008" t="s">
        <v>117</v>
      </c>
      <c r="B167" s="1005">
        <f>IF(ISBLANK(Input!J27),#N/A,Input!J27)</f>
        <v>6500</v>
      </c>
      <c r="C167" s="1005">
        <f>IF(ISBLANK(Input!K27),#N/A,Input!K27)</f>
        <v>3600</v>
      </c>
      <c r="D167" s="1005">
        <f>IF(ISBLANK(Input!L27),#N/A,Input!L27)</f>
        <v>1100</v>
      </c>
      <c r="E167" s="1005">
        <f>IF(ISBLANK(Input!M27),#N/A,Input!M27)</f>
        <v>250</v>
      </c>
      <c r="F167" s="1005">
        <f>IF(ISBLANK(Input!N27),#N/A,Input!N27)</f>
        <v>10</v>
      </c>
      <c r="G167" s="1005" t="e">
        <f>IF(ISBLANK(Input!O27),#N/A,Input!O27)</f>
        <v>#N/A</v>
      </c>
      <c r="H167" s="1005" t="e">
        <f>IF(ISBLANK(Input!P27),#N/A,Input!P27)</f>
        <v>#N/A</v>
      </c>
      <c r="I167" s="1005" t="e">
        <f>IF(ISBLANK(Input!Q27),#N/A,Input!Q27)</f>
        <v>#N/A</v>
      </c>
      <c r="J167" s="1005" t="e">
        <f>IF(ISBLANK(Input!R27),#N/A,Input!R27)</f>
        <v>#N/A</v>
      </c>
      <c r="K167" s="1005" t="e">
        <f>IF(ISBLANK(Input!S27),#N/A,Input!S27)</f>
        <v>#N/A</v>
      </c>
      <c r="L167" s="1005" t="e">
        <f>IF(ISBLANK(Input!T27),#N/A,Input!T27)</f>
        <v>#N/A</v>
      </c>
      <c r="M167" s="953"/>
    </row>
    <row r="168" spans="1:13" ht="12.75">
      <c r="A168" s="957"/>
      <c r="B168" s="957"/>
      <c r="C168" s="954"/>
      <c r="D168" s="953"/>
      <c r="E168" s="953"/>
      <c r="F168" s="953"/>
      <c r="G168" s="953"/>
      <c r="H168" s="953"/>
      <c r="I168" s="953"/>
      <c r="J168" s="953"/>
      <c r="K168" s="953"/>
      <c r="L168" s="953"/>
      <c r="M168" s="953"/>
    </row>
    <row r="169" spans="1:13" ht="12.75">
      <c r="A169" s="957"/>
      <c r="B169" s="957"/>
      <c r="C169" s="954"/>
      <c r="D169" s="953"/>
      <c r="E169" s="953"/>
      <c r="F169" s="953"/>
      <c r="G169" s="953"/>
      <c r="H169" s="953"/>
      <c r="I169" s="953"/>
      <c r="J169" s="953"/>
      <c r="K169" s="953"/>
      <c r="L169" s="953"/>
      <c r="M169" s="953"/>
    </row>
    <row r="170" spans="1:13" ht="12.75">
      <c r="A170" s="957"/>
      <c r="B170" s="957"/>
      <c r="C170" s="954"/>
      <c r="D170" s="953"/>
      <c r="E170" s="953"/>
      <c r="F170" s="953"/>
      <c r="G170" s="953"/>
      <c r="H170" s="953"/>
      <c r="I170" s="953"/>
      <c r="J170" s="953"/>
      <c r="K170" s="953"/>
      <c r="L170" s="953"/>
      <c r="M170" s="953"/>
    </row>
    <row r="171" spans="1:13" ht="12.75">
      <c r="A171" s="957"/>
      <c r="B171" s="957"/>
      <c r="C171" s="954"/>
      <c r="D171" s="953"/>
      <c r="E171" s="953"/>
      <c r="F171" s="953"/>
      <c r="G171" s="953"/>
      <c r="H171" s="953"/>
      <c r="I171" s="953"/>
      <c r="J171" s="953"/>
      <c r="K171" s="953"/>
      <c r="L171" s="953"/>
      <c r="M171" s="953"/>
    </row>
    <row r="172" spans="1:13" ht="12.75">
      <c r="A172" s="957" t="s">
        <v>407</v>
      </c>
      <c r="B172" s="1002" t="str">
        <f>B162</f>
        <v>MW-1</v>
      </c>
      <c r="C172" s="1002" t="str">
        <f aca="true" t="shared" si="31" ref="C172:L172">C162</f>
        <v>MW-2</v>
      </c>
      <c r="D172" s="1002" t="str">
        <f t="shared" si="31"/>
        <v>MW-3</v>
      </c>
      <c r="E172" s="1002" t="str">
        <f t="shared" si="31"/>
        <v>MW-4</v>
      </c>
      <c r="F172" s="1002" t="str">
        <f t="shared" si="31"/>
        <v>MW-5</v>
      </c>
      <c r="G172" s="1002" t="e">
        <f t="shared" si="31"/>
        <v>#N/A</v>
      </c>
      <c r="H172" s="1002" t="e">
        <f t="shared" si="31"/>
        <v>#N/A</v>
      </c>
      <c r="I172" s="1002" t="e">
        <f t="shared" si="31"/>
        <v>#N/A</v>
      </c>
      <c r="J172" s="1002" t="e">
        <f t="shared" si="31"/>
        <v>#N/A</v>
      </c>
      <c r="K172" s="1002" t="e">
        <f t="shared" si="31"/>
        <v>#N/A</v>
      </c>
      <c r="L172" s="1002" t="e">
        <f t="shared" si="31"/>
        <v>#N/A</v>
      </c>
      <c r="M172" s="953"/>
    </row>
    <row r="173" spans="1:13" ht="12.75">
      <c r="A173" s="957"/>
      <c r="B173" s="1009">
        <f>B163</f>
        <v>0</v>
      </c>
      <c r="C173" s="1009">
        <f aca="true" t="shared" si="32" ref="C173:L173">C163</f>
        <v>63</v>
      </c>
      <c r="D173" s="1009">
        <f t="shared" si="32"/>
        <v>130</v>
      </c>
      <c r="E173" s="1009">
        <f t="shared" si="32"/>
        <v>192</v>
      </c>
      <c r="F173" s="1009">
        <f t="shared" si="32"/>
        <v>288</v>
      </c>
      <c r="G173" s="1009" t="e">
        <f t="shared" si="32"/>
        <v>#N/A</v>
      </c>
      <c r="H173" s="1009" t="e">
        <f t="shared" si="32"/>
        <v>#N/A</v>
      </c>
      <c r="I173" s="1009" t="e">
        <f t="shared" si="32"/>
        <v>#N/A</v>
      </c>
      <c r="J173" s="1009" t="e">
        <f t="shared" si="32"/>
        <v>#N/A</v>
      </c>
      <c r="K173" s="1009" t="e">
        <f t="shared" si="32"/>
        <v>#N/A</v>
      </c>
      <c r="L173" s="1009" t="e">
        <f t="shared" si="32"/>
        <v>#N/A</v>
      </c>
      <c r="M173" s="953"/>
    </row>
    <row r="174" spans="1:13" ht="12.75">
      <c r="A174" s="1010" t="s">
        <v>114</v>
      </c>
      <c r="B174" s="1009">
        <f>B120</f>
        <v>1</v>
      </c>
      <c r="C174" s="1009">
        <f aca="true" t="shared" si="33" ref="C174:L174">C120</f>
        <v>1.0787123830904015</v>
      </c>
      <c r="D174" s="1009">
        <f t="shared" si="33"/>
        <v>1.1216182227353986</v>
      </c>
      <c r="E174" s="1009">
        <f t="shared" si="33"/>
        <v>0.6457010239941422</v>
      </c>
      <c r="F174" s="1009">
        <f t="shared" si="33"/>
        <v>0.6143839692685773</v>
      </c>
      <c r="G174" s="1009" t="e">
        <f t="shared" si="33"/>
        <v>#N/A</v>
      </c>
      <c r="H174" s="1009" t="e">
        <f t="shared" si="33"/>
        <v>#N/A</v>
      </c>
      <c r="I174" s="1009" t="e">
        <f t="shared" si="33"/>
        <v>#N/A</v>
      </c>
      <c r="J174" s="1009" t="e">
        <f t="shared" si="33"/>
        <v>#N/A</v>
      </c>
      <c r="K174" s="1009" t="e">
        <f t="shared" si="33"/>
        <v>#N/A</v>
      </c>
      <c r="L174" s="1009" t="e">
        <f t="shared" si="33"/>
        <v>#N/A</v>
      </c>
      <c r="M174" s="953"/>
    </row>
    <row r="175" spans="1:13" ht="12.75">
      <c r="A175" s="1011" t="s">
        <v>115</v>
      </c>
      <c r="B175" s="1009">
        <f>B119</f>
        <v>1</v>
      </c>
      <c r="C175" s="1009">
        <f aca="true" t="shared" si="34" ref="C175:L175">C119</f>
        <v>0.44898549116605374</v>
      </c>
      <c r="D175" s="1009">
        <f t="shared" si="34"/>
        <v>0.18940789277121453</v>
      </c>
      <c r="E175" s="1009">
        <f t="shared" si="34"/>
        <v>0.051528603170625936</v>
      </c>
      <c r="F175" s="1009">
        <f t="shared" si="34"/>
        <v>0.020768413757714255</v>
      </c>
      <c r="G175" s="1009" t="e">
        <f t="shared" si="34"/>
        <v>#N/A</v>
      </c>
      <c r="H175" s="1009" t="e">
        <f t="shared" si="34"/>
        <v>#N/A</v>
      </c>
      <c r="I175" s="1009" t="e">
        <f t="shared" si="34"/>
        <v>#N/A</v>
      </c>
      <c r="J175" s="1009" t="e">
        <f t="shared" si="34"/>
        <v>#N/A</v>
      </c>
      <c r="K175" s="1009" t="e">
        <f t="shared" si="34"/>
        <v>#N/A</v>
      </c>
      <c r="L175" s="1009" t="e">
        <f t="shared" si="34"/>
        <v>#N/A</v>
      </c>
      <c r="M175" s="953"/>
    </row>
    <row r="176" spans="1:13" ht="12.75">
      <c r="A176" s="1012" t="s">
        <v>116</v>
      </c>
      <c r="B176" s="1009">
        <f>B138</f>
        <v>1</v>
      </c>
      <c r="C176" s="1009">
        <f aca="true" t="shared" si="35" ref="C176:L176">C138</f>
        <v>1158.955556585709</v>
      </c>
      <c r="D176" s="1009">
        <f t="shared" si="35"/>
        <v>2558.859639731628</v>
      </c>
      <c r="E176" s="1009">
        <f t="shared" si="35"/>
        <v>765.0306919888326</v>
      </c>
      <c r="F176" s="1009">
        <f t="shared" si="35"/>
        <v>1</v>
      </c>
      <c r="G176" s="1009" t="e">
        <f t="shared" si="35"/>
        <v>#N/A</v>
      </c>
      <c r="H176" s="1009" t="e">
        <f t="shared" si="35"/>
        <v>#N/A</v>
      </c>
      <c r="I176" s="1009" t="e">
        <f t="shared" si="35"/>
        <v>#N/A</v>
      </c>
      <c r="J176" s="1009" t="e">
        <f t="shared" si="35"/>
        <v>#N/A</v>
      </c>
      <c r="K176" s="1009" t="e">
        <f t="shared" si="35"/>
        <v>#N/A</v>
      </c>
      <c r="L176" s="1009" t="e">
        <f t="shared" si="35"/>
        <v>#N/A</v>
      </c>
      <c r="M176" s="953"/>
    </row>
    <row r="177" spans="1:13" ht="12.75">
      <c r="A177" s="1013" t="s">
        <v>117</v>
      </c>
      <c r="B177" s="1009">
        <f>B118</f>
        <v>1</v>
      </c>
      <c r="C177" s="1009">
        <f aca="true" t="shared" si="36" ref="C177:L177">C118</f>
        <v>0.5538461538461539</v>
      </c>
      <c r="D177" s="1009">
        <f t="shared" si="36"/>
        <v>0.16923076923076924</v>
      </c>
      <c r="E177" s="1009">
        <f t="shared" si="36"/>
        <v>0.038461538461538464</v>
      </c>
      <c r="F177" s="1009">
        <f t="shared" si="36"/>
        <v>0.0015384615384615385</v>
      </c>
      <c r="G177" s="1009" t="e">
        <f t="shared" si="36"/>
        <v>#N/A</v>
      </c>
      <c r="H177" s="1009" t="e">
        <f t="shared" si="36"/>
        <v>#N/A</v>
      </c>
      <c r="I177" s="1009" t="e">
        <f t="shared" si="36"/>
        <v>#N/A</v>
      </c>
      <c r="J177" s="1009" t="e">
        <f t="shared" si="36"/>
        <v>#N/A</v>
      </c>
      <c r="K177" s="1009" t="e">
        <f t="shared" si="36"/>
        <v>#N/A</v>
      </c>
      <c r="L177" s="1009" t="e">
        <f t="shared" si="36"/>
        <v>#N/A</v>
      </c>
      <c r="M177" s="953"/>
    </row>
    <row r="178" spans="1:13" ht="12.75">
      <c r="A178" s="957"/>
      <c r="B178" s="957"/>
      <c r="C178" s="954"/>
      <c r="D178" s="953"/>
      <c r="E178" s="953"/>
      <c r="F178" s="953"/>
      <c r="G178" s="953"/>
      <c r="H178" s="953"/>
      <c r="I178" s="953"/>
      <c r="J178" s="953"/>
      <c r="K178" s="953"/>
      <c r="L178" s="953"/>
      <c r="M178" s="953"/>
    </row>
  </sheetData>
  <sheetProtection/>
  <printOptions horizontalCentered="1" verticalCentered="1"/>
  <pageMargins left="0.47" right="0.35" top="1" bottom="1.24" header="0.57" footer="1.02"/>
  <pageSetup blackAndWhite="1" fitToHeight="1" fitToWidth="1" horizontalDpi="400" verticalDpi="400" orientation="portrait" scale="74" r:id="rId4"/>
  <headerFooter alignWithMargins="0">
    <oddHeader>&amp;LWashington State Department of Ecology: TCP program&amp;R&amp;D</oddHeader>
    <oddFooter>&amp;R
&amp;A</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AB131"/>
  <sheetViews>
    <sheetView showGridLines="0" showRowColHeaders="0" zoomScale="104" zoomScaleNormal="104" zoomScalePageLayoutView="0" workbookViewId="0" topLeftCell="A1">
      <selection activeCell="K16" sqref="K16"/>
    </sheetView>
  </sheetViews>
  <sheetFormatPr defaultColWidth="9.00390625" defaultRowHeight="12.75"/>
  <cols>
    <col min="1" max="1" width="8.125" style="525" customWidth="1"/>
    <col min="2" max="2" width="9.625" style="525" customWidth="1"/>
    <col min="3" max="11" width="9.625" style="745" customWidth="1"/>
    <col min="12" max="12" width="9.875" style="745" customWidth="1"/>
    <col min="13" max="13" width="10.00390625" style="745" customWidth="1"/>
    <col min="14" max="14" width="10.00390625" style="525" customWidth="1"/>
    <col min="15" max="15" width="3.375" style="525" customWidth="1"/>
    <col min="16" max="16" width="18.00390625" style="525" customWidth="1"/>
    <col min="17" max="31" width="9.50390625" style="525" customWidth="1"/>
    <col min="32" max="16384" width="8.875" style="525" customWidth="1"/>
  </cols>
  <sheetData>
    <row r="1" spans="1:15" s="524" customFormat="1" ht="15.75" customHeight="1">
      <c r="A1" s="580" t="s">
        <v>688</v>
      </c>
      <c r="B1" s="342"/>
      <c r="C1" s="343"/>
      <c r="D1" s="343"/>
      <c r="E1" s="343"/>
      <c r="F1" s="343"/>
      <c r="G1" s="343"/>
      <c r="H1" s="343"/>
      <c r="I1" s="343"/>
      <c r="J1" s="292" t="s">
        <v>265</v>
      </c>
      <c r="K1" s="344" t="str">
        <f>site_name</f>
        <v>Dummy XYZ site</v>
      </c>
      <c r="L1" s="343"/>
      <c r="M1" s="343"/>
      <c r="N1" s="342"/>
      <c r="O1" s="342"/>
    </row>
    <row r="2" spans="1:15" ht="14.25" customHeight="1">
      <c r="A2" s="345"/>
      <c r="B2" s="268"/>
      <c r="C2" s="346"/>
      <c r="D2" s="346"/>
      <c r="E2" s="1133"/>
      <c r="F2" s="346"/>
      <c r="G2" s="346"/>
      <c r="H2" s="346"/>
      <c r="I2" s="346"/>
      <c r="J2" s="347" t="s">
        <v>338</v>
      </c>
      <c r="K2" s="344" t="str">
        <f>site_address</f>
        <v>1234, Olympia, WA 98501</v>
      </c>
      <c r="L2" s="346"/>
      <c r="M2" s="346"/>
      <c r="N2" s="268"/>
      <c r="O2" s="268"/>
    </row>
    <row r="3" spans="1:15" ht="14.25" customHeight="1" thickBot="1">
      <c r="A3" s="348"/>
      <c r="B3" s="349"/>
      <c r="C3" s="350"/>
      <c r="D3" s="350"/>
      <c r="E3" s="350"/>
      <c r="F3" s="350"/>
      <c r="G3" s="350"/>
      <c r="H3" s="350"/>
      <c r="I3" s="350"/>
      <c r="J3" s="293" t="str">
        <f>Input!B19</f>
        <v>Hazardous Substance:</v>
      </c>
      <c r="K3" s="351" t="str">
        <f>Input!E19</f>
        <v>Benzene</v>
      </c>
      <c r="L3" s="350"/>
      <c r="M3" s="350"/>
      <c r="N3" s="349"/>
      <c r="O3" s="268"/>
    </row>
    <row r="4" spans="1:15" ht="5.25" customHeight="1" thickTop="1">
      <c r="A4" s="345"/>
      <c r="B4" s="268"/>
      <c r="C4" s="346"/>
      <c r="D4" s="346"/>
      <c r="E4" s="346"/>
      <c r="F4" s="346"/>
      <c r="G4" s="346"/>
      <c r="H4" s="346"/>
      <c r="I4" s="346"/>
      <c r="J4" s="346"/>
      <c r="K4" s="346"/>
      <c r="L4" s="346"/>
      <c r="M4" s="346"/>
      <c r="N4" s="268"/>
      <c r="O4" s="268"/>
    </row>
    <row r="5" spans="1:16" ht="14.25" customHeight="1">
      <c r="A5" s="267" t="s">
        <v>146</v>
      </c>
      <c r="B5" s="268"/>
      <c r="C5" s="352" t="s">
        <v>702</v>
      </c>
      <c r="D5" s="269"/>
      <c r="E5" s="270"/>
      <c r="F5" s="270"/>
      <c r="G5" s="270"/>
      <c r="H5" s="270"/>
      <c r="I5" s="270"/>
      <c r="J5" s="270"/>
      <c r="K5" s="271"/>
      <c r="L5" s="271"/>
      <c r="M5" s="626" t="s">
        <v>555</v>
      </c>
      <c r="N5" s="269"/>
      <c r="O5" s="268"/>
      <c r="P5" s="525" t="s">
        <v>147</v>
      </c>
    </row>
    <row r="6" spans="1:17" ht="14.25" customHeight="1">
      <c r="A6" s="267" t="s">
        <v>403</v>
      </c>
      <c r="B6" s="268"/>
      <c r="C6" s="268"/>
      <c r="D6" s="268"/>
      <c r="E6" s="269"/>
      <c r="F6" s="272" t="s">
        <v>402</v>
      </c>
      <c r="G6" s="354"/>
      <c r="H6" s="354"/>
      <c r="I6" s="354"/>
      <c r="J6" s="354"/>
      <c r="K6" s="355"/>
      <c r="L6" s="271"/>
      <c r="M6" s="353" t="s">
        <v>554</v>
      </c>
      <c r="N6" s="268"/>
      <c r="O6" s="268"/>
      <c r="P6" s="525" t="s">
        <v>148</v>
      </c>
      <c r="Q6" s="747" t="s">
        <v>149</v>
      </c>
    </row>
    <row r="7" spans="1:28" ht="13.5" thickBot="1">
      <c r="A7" s="1147"/>
      <c r="B7" s="623">
        <f>'Plume Output'!C90</f>
        <v>0.0001</v>
      </c>
      <c r="C7" s="624">
        <f>'Plume Output'!D90</f>
        <v>50</v>
      </c>
      <c r="D7" s="624">
        <f>'Plume Output'!E90</f>
        <v>100</v>
      </c>
      <c r="E7" s="624">
        <f>'Plume Output'!F90</f>
        <v>150</v>
      </c>
      <c r="F7" s="624">
        <f>'Plume Output'!G90</f>
        <v>200</v>
      </c>
      <c r="G7" s="624">
        <f>'Plume Output'!H90</f>
        <v>250</v>
      </c>
      <c r="H7" s="624">
        <f>'Plume Output'!I90</f>
        <v>300</v>
      </c>
      <c r="I7" s="624">
        <f>'Plume Output'!J90</f>
        <v>350</v>
      </c>
      <c r="J7" s="624">
        <f>'Plume Output'!K90</f>
        <v>400</v>
      </c>
      <c r="K7" s="624">
        <f>'Plume Output'!L90</f>
        <v>450</v>
      </c>
      <c r="L7" s="625">
        <f>'Plume Output'!M90</f>
        <v>500</v>
      </c>
      <c r="M7" s="268"/>
      <c r="N7" s="268"/>
      <c r="O7" s="268"/>
      <c r="P7" s="525" t="s">
        <v>147</v>
      </c>
      <c r="Q7" s="748" t="s">
        <v>569</v>
      </c>
      <c r="R7" s="749">
        <f aca="true" t="shared" si="0" ref="R7:AB7">B7</f>
        <v>0.0001</v>
      </c>
      <c r="S7" s="749">
        <f t="shared" si="0"/>
        <v>50</v>
      </c>
      <c r="T7" s="749">
        <f t="shared" si="0"/>
        <v>100</v>
      </c>
      <c r="U7" s="749">
        <f t="shared" si="0"/>
        <v>150</v>
      </c>
      <c r="V7" s="749">
        <f t="shared" si="0"/>
        <v>200</v>
      </c>
      <c r="W7" s="749">
        <f t="shared" si="0"/>
        <v>250</v>
      </c>
      <c r="X7" s="749">
        <f t="shared" si="0"/>
        <v>300</v>
      </c>
      <c r="Y7" s="749">
        <f t="shared" si="0"/>
        <v>350</v>
      </c>
      <c r="Z7" s="749">
        <f t="shared" si="0"/>
        <v>400</v>
      </c>
      <c r="AA7" s="749">
        <f t="shared" si="0"/>
        <v>450</v>
      </c>
      <c r="AB7" s="749">
        <f t="shared" si="0"/>
        <v>500</v>
      </c>
    </row>
    <row r="8" spans="1:28" ht="13.5" thickTop="1">
      <c r="A8" s="1142">
        <f>'Plume Output'!B91</f>
        <v>45</v>
      </c>
      <c r="B8" s="609">
        <f>IF(whichmodel="t",'Plume Output'!C91,IF(whichmodel="f",'Plume Output'!C106,IF(whichmodel="i",'Plume Output'!C122,"select")))</f>
        <v>4340.648770667109</v>
      </c>
      <c r="C8" s="610">
        <f>IF(whichmodel="t",'Plume Output'!D91,IF(whichmodel="f",'Plume Output'!D106,IF(whichmodel="i",'Plume Output'!D122,"select")))</f>
        <v>3852.370506049111</v>
      </c>
      <c r="D8" s="610">
        <f>IF(whichmodel="t",'Plume Output'!E91,IF(whichmodel="f",'Plume Output'!E106,IF(whichmodel="i",'Plume Output'!E122,"select")))</f>
        <v>3927.264294245754</v>
      </c>
      <c r="E8" s="610">
        <f>IF(whichmodel="t",'Plume Output'!F91,IF(whichmodel="f",'Plume Output'!F106,IF(whichmodel="i",'Plume Output'!F122,"select")))</f>
        <v>4047.6909829294614</v>
      </c>
      <c r="F8" s="610">
        <f>IF(whichmodel="t",'Plume Output'!G91,IF(whichmodel="f",'Plume Output'!G106,IF(whichmodel="i",'Plume Output'!G122,"select")))</f>
        <v>4196.345186653756</v>
      </c>
      <c r="G8" s="610">
        <f>IF(whichmodel="t",'Plume Output'!H91,IF(whichmodel="f",'Plume Output'!H106,IF(whichmodel="i",'Plume Output'!H122,"select")))</f>
        <v>4358.589903440562</v>
      </c>
      <c r="H8" s="610">
        <f>IF(whichmodel="t",'Plume Output'!I91,IF(whichmodel="f",'Plume Output'!I106,IF(whichmodel="i",'Plume Output'!I122,"select")))</f>
        <v>4507.537361454932</v>
      </c>
      <c r="I8" s="610">
        <f>IF(whichmodel="t",'Plume Output'!J91,IF(whichmodel="f",'Plume Output'!J106,IF(whichmodel="i",'Plume Output'!J122,"select")))</f>
        <v>4594.789505459157</v>
      </c>
      <c r="J8" s="610">
        <f>IF(whichmodel="t",'Plume Output'!K91,IF(whichmodel="f",'Plume Output'!K106,IF(whichmodel="i",'Plume Output'!K122,"select")))</f>
        <v>4548.730924847553</v>
      </c>
      <c r="K8" s="610">
        <f>IF(whichmodel="t",'Plume Output'!L91,IF(whichmodel="f",'Plume Output'!L106,IF(whichmodel="i",'Plume Output'!L122,"select")))</f>
        <v>4292.377349845412</v>
      </c>
      <c r="L8" s="611">
        <f>IF(whichmodel="t",'Plume Output'!M91,IF(whichmodel="f",'Plume Output'!M106,IF(whichmodel="i",'Plume Output'!M122,"select")))</f>
        <v>3783.2945849939247</v>
      </c>
      <c r="M8" s="268"/>
      <c r="N8" s="268"/>
      <c r="O8" s="268"/>
      <c r="Q8" s="750">
        <f>A8</f>
        <v>45</v>
      </c>
      <c r="R8" s="356">
        <f>IF(WhichPlot="all",B8,IF(WhichPlot="target",IF(Target_Level&lt;&gt;"",IF(B8&gt;Target_Level,B8,0),"No Target")))</f>
        <v>4340.648770667109</v>
      </c>
      <c r="S8" s="356">
        <f aca="true" t="shared" si="1" ref="S8:AB8">IF(WhichPlot="all",C8,IF(WhichPlot="target",IF(Target_Level&lt;&gt;"",IF(C8&gt;Target_Level,C8,0),"No Target")))</f>
        <v>3852.370506049111</v>
      </c>
      <c r="T8" s="356">
        <f t="shared" si="1"/>
        <v>3927.264294245754</v>
      </c>
      <c r="U8" s="356">
        <f t="shared" si="1"/>
        <v>4047.6909829294614</v>
      </c>
      <c r="V8" s="356">
        <f t="shared" si="1"/>
        <v>4196.345186653756</v>
      </c>
      <c r="W8" s="356">
        <f t="shared" si="1"/>
        <v>4358.589903440562</v>
      </c>
      <c r="X8" s="356">
        <f t="shared" si="1"/>
        <v>4507.537361454932</v>
      </c>
      <c r="Y8" s="356">
        <f t="shared" si="1"/>
        <v>4594.789505459157</v>
      </c>
      <c r="Z8" s="356">
        <f t="shared" si="1"/>
        <v>4548.730924847553</v>
      </c>
      <c r="AA8" s="356">
        <f t="shared" si="1"/>
        <v>4292.377349845412</v>
      </c>
      <c r="AB8" s="356">
        <f t="shared" si="1"/>
        <v>3783.2945849939247</v>
      </c>
    </row>
    <row r="9" spans="1:28" ht="12.75">
      <c r="A9" s="1142">
        <f>'Plume Output'!B92</f>
        <v>22.5</v>
      </c>
      <c r="B9" s="612">
        <f>IF(whichmodel="t",'Plume Output'!C92,IF(whichmodel="f",'Plume Output'!C107,IF(whichmodel="i",'Plume Output'!C123,"select")))</f>
        <v>4340.648770667109</v>
      </c>
      <c r="C9" s="613">
        <f>IF(whichmodel="t",'Plume Output'!D92,IF(whichmodel="f",'Plume Output'!D107,IF(whichmodel="i",'Plume Output'!D123,"select")))</f>
        <v>4615.213087524614</v>
      </c>
      <c r="D9" s="613">
        <f>IF(whichmodel="t",'Plume Output'!E92,IF(whichmodel="f",'Plume Output'!E107,IF(whichmodel="i",'Plume Output'!E123,"select")))</f>
        <v>4833.0862282814005</v>
      </c>
      <c r="E9" s="613">
        <f>IF(whichmodel="t",'Plume Output'!F92,IF(whichmodel="f",'Plume Output'!F107,IF(whichmodel="i",'Plume Output'!F123,"select")))</f>
        <v>5047.343359716631</v>
      </c>
      <c r="F9" s="613">
        <f>IF(whichmodel="t",'Plume Output'!G92,IF(whichmodel="f",'Plume Output'!G107,IF(whichmodel="i",'Plume Output'!G123,"select")))</f>
        <v>5269.336118920957</v>
      </c>
      <c r="G9" s="613">
        <f>IF(whichmodel="t",'Plume Output'!H92,IF(whichmodel="f",'Plume Output'!H107,IF(whichmodel="i",'Plume Output'!H123,"select")))</f>
        <v>5488.789423718497</v>
      </c>
      <c r="H9" s="613">
        <f>IF(whichmodel="t",'Plume Output'!I92,IF(whichmodel="f",'Plume Output'!I107,IF(whichmodel="i",'Plume Output'!I123,"select")))</f>
        <v>5676.495014763141</v>
      </c>
      <c r="I9" s="613">
        <f>IF(whichmodel="t",'Plume Output'!J92,IF(whichmodel="f",'Plume Output'!J107,IF(whichmodel="i",'Plume Output'!J123,"select")))</f>
        <v>5775.173021670693</v>
      </c>
      <c r="J9" s="613">
        <f>IF(whichmodel="t",'Plume Output'!K92,IF(whichmodel="f",'Plume Output'!K107,IF(whichmodel="i",'Plume Output'!K123,"select")))</f>
        <v>5698.62227690064</v>
      </c>
      <c r="K9" s="613">
        <f>IF(whichmodel="t",'Plume Output'!L92,IF(whichmodel="f",'Plume Output'!L107,IF(whichmodel="i",'Plume Output'!L123,"select")))</f>
        <v>5355.19128479531</v>
      </c>
      <c r="L9" s="614">
        <f>IF(whichmodel="t",'Plume Output'!M92,IF(whichmodel="f",'Plume Output'!M107,IF(whichmodel="i",'Plume Output'!M123,"select")))</f>
        <v>4697.873566453906</v>
      </c>
      <c r="M9" s="268"/>
      <c r="N9" s="268"/>
      <c r="O9" s="268"/>
      <c r="P9" s="525" t="str">
        <f>whichmodel</f>
        <v>t</v>
      </c>
      <c r="Q9" s="750">
        <f>A9</f>
        <v>22.5</v>
      </c>
      <c r="R9" s="356">
        <f aca="true" t="shared" si="2" ref="R9:AB12">IF(WhichPlot="all",B9,IF(WhichPlot="target",IF(Target_Level&lt;&gt;"",IF(B9&gt;Target_Level,B9,0),"No Target")))</f>
        <v>4340.648770667109</v>
      </c>
      <c r="S9" s="356">
        <f t="shared" si="2"/>
        <v>4615.213087524614</v>
      </c>
      <c r="T9" s="356">
        <f t="shared" si="2"/>
        <v>4833.0862282814005</v>
      </c>
      <c r="U9" s="356">
        <f t="shared" si="2"/>
        <v>5047.343359716631</v>
      </c>
      <c r="V9" s="356">
        <f t="shared" si="2"/>
        <v>5269.336118920957</v>
      </c>
      <c r="W9" s="356">
        <f t="shared" si="2"/>
        <v>5488.789423718497</v>
      </c>
      <c r="X9" s="356">
        <f t="shared" si="2"/>
        <v>5676.495014763141</v>
      </c>
      <c r="Y9" s="356">
        <f t="shared" si="2"/>
        <v>5775.173021670693</v>
      </c>
      <c r="Z9" s="356">
        <f t="shared" si="2"/>
        <v>5698.62227690064</v>
      </c>
      <c r="AA9" s="356">
        <f t="shared" si="2"/>
        <v>5355.19128479531</v>
      </c>
      <c r="AB9" s="356">
        <f t="shared" si="2"/>
        <v>4697.873566453906</v>
      </c>
    </row>
    <row r="10" spans="1:28" ht="12.75">
      <c r="A10" s="1142">
        <f>'Plume Output'!B93</f>
        <v>0</v>
      </c>
      <c r="B10" s="612">
        <f>IF(whichmodel="t",'Plume Output'!C93,IF(whichmodel="f",'Plume Output'!C108,IF(whichmodel="i",'Plume Output'!C124,"select")))</f>
        <v>4340.648770667109</v>
      </c>
      <c r="C10" s="613">
        <f>IF(whichmodel="t",'Plume Output'!D93,IF(whichmodel="f",'Plume Output'!D108,IF(whichmodel="i",'Plume Output'!D124,"select")))</f>
        <v>4635.751862473382</v>
      </c>
      <c r="D10" s="613">
        <f>IF(whichmodel="t",'Plume Output'!E93,IF(whichmodel="f",'Plume Output'!E108,IF(whichmodel="i",'Plume Output'!E124,"select")))</f>
        <v>4944.971154466499</v>
      </c>
      <c r="E10" s="613">
        <f>IF(whichmodel="t",'Plume Output'!F93,IF(whichmodel="f",'Plume Output'!F108,IF(whichmodel="i",'Plume Output'!F124,"select")))</f>
        <v>5251.085413359758</v>
      </c>
      <c r="F10" s="613">
        <f>IF(whichmodel="t",'Plume Output'!G93,IF(whichmodel="f",'Plume Output'!G108,IF(whichmodel="i",'Plume Output'!G124,"select")))</f>
        <v>5545.87881738655</v>
      </c>
      <c r="G10" s="613">
        <f>IF(whichmodel="t",'Plume Output'!H93,IF(whichmodel="f",'Plume Output'!H108,IF(whichmodel="i",'Plume Output'!H124,"select")))</f>
        <v>5820.438678878054</v>
      </c>
      <c r="H10" s="613">
        <f>IF(whichmodel="t",'Plume Output'!I93,IF(whichmodel="f",'Plume Output'!I108,IF(whichmodel="i",'Plume Output'!I124,"select")))</f>
        <v>6047.591017733764</v>
      </c>
      <c r="I10" s="613">
        <f>IF(whichmodel="t",'Plume Output'!J93,IF(whichmodel="f",'Plume Output'!J108,IF(whichmodel="i",'Plume Output'!J124,"select")))</f>
        <v>6169.246039914529</v>
      </c>
      <c r="J10" s="613">
        <f>IF(whichmodel="t",'Plume Output'!K93,IF(whichmodel="f",'Plume Output'!K108,IF(whichmodel="i",'Plume Output'!K124,"select")))</f>
        <v>6095.51553007097</v>
      </c>
      <c r="K10" s="613">
        <f>IF(whichmodel="t",'Plume Output'!L93,IF(whichmodel="f",'Plume Output'!L108,IF(whichmodel="i",'Plume Output'!L124,"select")))</f>
        <v>5730.360431841097</v>
      </c>
      <c r="L10" s="614">
        <f>IF(whichmodel="t",'Plume Output'!M93,IF(whichmodel="f",'Plume Output'!M108,IF(whichmodel="i",'Plume Output'!M124,"select")))</f>
        <v>5025.687796039593</v>
      </c>
      <c r="M10" s="268"/>
      <c r="N10" s="268"/>
      <c r="O10" s="268"/>
      <c r="Q10" s="750">
        <f>A10</f>
        <v>0</v>
      </c>
      <c r="R10" s="356">
        <f t="shared" si="2"/>
        <v>4340.648770667109</v>
      </c>
      <c r="S10" s="356">
        <f t="shared" si="2"/>
        <v>4635.751862473382</v>
      </c>
      <c r="T10" s="356">
        <f t="shared" si="2"/>
        <v>4944.971154466499</v>
      </c>
      <c r="U10" s="356">
        <f t="shared" si="2"/>
        <v>5251.085413359758</v>
      </c>
      <c r="V10" s="356">
        <f t="shared" si="2"/>
        <v>5545.87881738655</v>
      </c>
      <c r="W10" s="356">
        <f t="shared" si="2"/>
        <v>5820.438678878054</v>
      </c>
      <c r="X10" s="356">
        <f t="shared" si="2"/>
        <v>6047.591017733764</v>
      </c>
      <c r="Y10" s="356">
        <f t="shared" si="2"/>
        <v>6169.246039914529</v>
      </c>
      <c r="Z10" s="356">
        <f t="shared" si="2"/>
        <v>6095.51553007097</v>
      </c>
      <c r="AA10" s="356">
        <f t="shared" si="2"/>
        <v>5730.360431841097</v>
      </c>
      <c r="AB10" s="356">
        <f t="shared" si="2"/>
        <v>5025.687796039593</v>
      </c>
    </row>
    <row r="11" spans="1:28" ht="12.75">
      <c r="A11" s="1142">
        <f>-'Plume Output'!B94</f>
        <v>-22.5</v>
      </c>
      <c r="B11" s="612">
        <f>IF(whichmodel="t",'Plume Output'!C94,IF(whichmodel="f",'Plume Output'!C109,IF(whichmodel="i",'Plume Output'!C125,"select")))</f>
        <v>4340.648770667109</v>
      </c>
      <c r="C11" s="613">
        <f>IF(whichmodel="t",'Plume Output'!D94,IF(whichmodel="f",'Plume Output'!D109,IF(whichmodel="i",'Plume Output'!D125,"select")))</f>
        <v>4615.213087524614</v>
      </c>
      <c r="D11" s="613">
        <f>IF(whichmodel="t",'Plume Output'!E94,IF(whichmodel="f",'Plume Output'!E109,IF(whichmodel="i",'Plume Output'!E125,"select")))</f>
        <v>4833.0862282814005</v>
      </c>
      <c r="E11" s="613">
        <f>IF(whichmodel="t",'Plume Output'!F94,IF(whichmodel="f",'Plume Output'!F109,IF(whichmodel="i",'Plume Output'!F125,"select")))</f>
        <v>5047.343359716631</v>
      </c>
      <c r="F11" s="613">
        <f>IF(whichmodel="t",'Plume Output'!G94,IF(whichmodel="f",'Plume Output'!G109,IF(whichmodel="i",'Plume Output'!G125,"select")))</f>
        <v>5269.336118920957</v>
      </c>
      <c r="G11" s="613">
        <f>IF(whichmodel="t",'Plume Output'!H94,IF(whichmodel="f",'Plume Output'!H109,IF(whichmodel="i",'Plume Output'!H125,"select")))</f>
        <v>5488.789423718497</v>
      </c>
      <c r="H11" s="613">
        <f>IF(whichmodel="t",'Plume Output'!I94,IF(whichmodel="f",'Plume Output'!I109,IF(whichmodel="i",'Plume Output'!I125,"select")))</f>
        <v>5676.495014763141</v>
      </c>
      <c r="I11" s="613">
        <f>IF(whichmodel="t",'Plume Output'!J94,IF(whichmodel="f",'Plume Output'!J109,IF(whichmodel="i",'Plume Output'!J125,"select")))</f>
        <v>5775.173021670693</v>
      </c>
      <c r="J11" s="613">
        <f>IF(whichmodel="t",'Plume Output'!K94,IF(whichmodel="f",'Plume Output'!K109,IF(whichmodel="i",'Plume Output'!K125,"select")))</f>
        <v>5698.62227690064</v>
      </c>
      <c r="K11" s="613">
        <f>IF(whichmodel="t",'Plume Output'!L94,IF(whichmodel="f",'Plume Output'!L109,IF(whichmodel="i",'Plume Output'!L125,"select")))</f>
        <v>5355.19128479531</v>
      </c>
      <c r="L11" s="614">
        <f>IF(whichmodel="t",'Plume Output'!M94,IF(whichmodel="f",'Plume Output'!M109,IF(whichmodel="i",'Plume Output'!M125,"select")))</f>
        <v>4697.873566453906</v>
      </c>
      <c r="M11" s="268"/>
      <c r="N11" s="268"/>
      <c r="O11" s="268"/>
      <c r="Q11" s="750">
        <f>A11</f>
        <v>-22.5</v>
      </c>
      <c r="R11" s="356">
        <f t="shared" si="2"/>
        <v>4340.648770667109</v>
      </c>
      <c r="S11" s="356">
        <f t="shared" si="2"/>
        <v>4615.213087524614</v>
      </c>
      <c r="T11" s="356">
        <f t="shared" si="2"/>
        <v>4833.0862282814005</v>
      </c>
      <c r="U11" s="356">
        <f t="shared" si="2"/>
        <v>5047.343359716631</v>
      </c>
      <c r="V11" s="356">
        <f t="shared" si="2"/>
        <v>5269.336118920957</v>
      </c>
      <c r="W11" s="356">
        <f t="shared" si="2"/>
        <v>5488.789423718497</v>
      </c>
      <c r="X11" s="356">
        <f t="shared" si="2"/>
        <v>5676.495014763141</v>
      </c>
      <c r="Y11" s="356">
        <f t="shared" si="2"/>
        <v>5775.173021670693</v>
      </c>
      <c r="Z11" s="356">
        <f t="shared" si="2"/>
        <v>5698.62227690064</v>
      </c>
      <c r="AA11" s="356">
        <f t="shared" si="2"/>
        <v>5355.19128479531</v>
      </c>
      <c r="AB11" s="356">
        <f t="shared" si="2"/>
        <v>4697.873566453906</v>
      </c>
    </row>
    <row r="12" spans="1:28" ht="13.5" thickBot="1">
      <c r="A12" s="1142">
        <f>-'Plume Output'!B95</f>
        <v>-45</v>
      </c>
      <c r="B12" s="615">
        <f>IF(whichmodel="t",'Plume Output'!C95,IF(whichmodel="f",'Plume Output'!C110,IF(whichmodel="i",'Plume Output'!C126,"select")))</f>
        <v>4340.648770667109</v>
      </c>
      <c r="C12" s="616">
        <f>IF(whichmodel="t",'Plume Output'!D95,IF(whichmodel="f",'Plume Output'!D110,IF(whichmodel="i",'Plume Output'!D126,"select")))</f>
        <v>3852.370506049111</v>
      </c>
      <c r="D12" s="616">
        <f>IF(whichmodel="t",'Plume Output'!E95,IF(whichmodel="f",'Plume Output'!E110,IF(whichmodel="i",'Plume Output'!E126,"select")))</f>
        <v>3927.264294245754</v>
      </c>
      <c r="E12" s="616">
        <f>IF(whichmodel="t",'Plume Output'!F95,IF(whichmodel="f",'Plume Output'!F110,IF(whichmodel="i",'Plume Output'!F126,"select")))</f>
        <v>4047.6909829294614</v>
      </c>
      <c r="F12" s="616">
        <f>IF(whichmodel="t",'Plume Output'!G95,IF(whichmodel="f",'Plume Output'!G110,IF(whichmodel="i",'Plume Output'!G126,"select")))</f>
        <v>4196.345186653756</v>
      </c>
      <c r="G12" s="616">
        <f>IF(whichmodel="t",'Plume Output'!H95,IF(whichmodel="f",'Plume Output'!H110,IF(whichmodel="i",'Plume Output'!H126,"select")))</f>
        <v>4358.589903440562</v>
      </c>
      <c r="H12" s="616">
        <f>IF(whichmodel="t",'Plume Output'!I95,IF(whichmodel="f",'Plume Output'!I110,IF(whichmodel="i",'Plume Output'!I126,"select")))</f>
        <v>4507.537361454932</v>
      </c>
      <c r="I12" s="616">
        <f>IF(whichmodel="t",'Plume Output'!J95,IF(whichmodel="f",'Plume Output'!J110,IF(whichmodel="i",'Plume Output'!J126,"select")))</f>
        <v>4594.789505459157</v>
      </c>
      <c r="J12" s="616">
        <f>IF(whichmodel="t",'Plume Output'!K95,IF(whichmodel="f",'Plume Output'!K110,IF(whichmodel="i",'Plume Output'!K126,"select")))</f>
        <v>4548.730924847553</v>
      </c>
      <c r="K12" s="616">
        <f>IF(whichmodel="t",'Plume Output'!L95,IF(whichmodel="f",'Plume Output'!L110,IF(whichmodel="i",'Plume Output'!L126,"select")))</f>
        <v>4292.377349845412</v>
      </c>
      <c r="L12" s="617">
        <f>IF(whichmodel="t",'Plume Output'!M95,IF(whichmodel="f",'Plume Output'!M110,IF(whichmodel="i",'Plume Output'!M126,"select")))</f>
        <v>3783.2945849939247</v>
      </c>
      <c r="M12" s="268"/>
      <c r="N12" s="268"/>
      <c r="O12" s="268"/>
      <c r="Q12" s="750">
        <f>A12</f>
        <v>-45</v>
      </c>
      <c r="R12" s="356">
        <f t="shared" si="2"/>
        <v>4340.648770667109</v>
      </c>
      <c r="S12" s="356">
        <f t="shared" si="2"/>
        <v>3852.370506049111</v>
      </c>
      <c r="T12" s="356">
        <f t="shared" si="2"/>
        <v>3927.264294245754</v>
      </c>
      <c r="U12" s="356">
        <f t="shared" si="2"/>
        <v>4047.6909829294614</v>
      </c>
      <c r="V12" s="356">
        <f t="shared" si="2"/>
        <v>4196.345186653756</v>
      </c>
      <c r="W12" s="356">
        <f t="shared" si="2"/>
        <v>4358.589903440562</v>
      </c>
      <c r="X12" s="356">
        <f t="shared" si="2"/>
        <v>4507.537361454932</v>
      </c>
      <c r="Y12" s="356">
        <f t="shared" si="2"/>
        <v>4594.789505459157</v>
      </c>
      <c r="Z12" s="356">
        <f t="shared" si="2"/>
        <v>4548.730924847553</v>
      </c>
      <c r="AA12" s="356">
        <f t="shared" si="2"/>
        <v>4292.377349845412</v>
      </c>
      <c r="AB12" s="356">
        <f t="shared" si="2"/>
        <v>3783.2945849939247</v>
      </c>
    </row>
    <row r="13" spans="1:28" ht="3.75" customHeight="1" thickTop="1">
      <c r="A13" s="1143"/>
      <c r="B13" s="618"/>
      <c r="C13" s="618"/>
      <c r="D13" s="618"/>
      <c r="E13" s="618"/>
      <c r="F13" s="618"/>
      <c r="G13" s="618"/>
      <c r="H13" s="618"/>
      <c r="I13" s="618"/>
      <c r="J13" s="618"/>
      <c r="K13" s="618"/>
      <c r="L13" s="619"/>
      <c r="M13" s="268"/>
      <c r="N13" s="268"/>
      <c r="O13" s="268"/>
      <c r="Q13" s="751"/>
      <c r="R13" s="357"/>
      <c r="S13" s="357"/>
      <c r="T13" s="357"/>
      <c r="U13" s="357"/>
      <c r="V13" s="357"/>
      <c r="W13" s="357"/>
      <c r="X13" s="357"/>
      <c r="Y13" s="357"/>
      <c r="Z13" s="357"/>
      <c r="AA13" s="357"/>
      <c r="AB13" s="357"/>
    </row>
    <row r="14" spans="1:28" ht="13.5" thickBot="1">
      <c r="A14" s="1144" t="s">
        <v>150</v>
      </c>
      <c r="B14" s="620">
        <f>IF(alpha.zorig&lt;&gt;0,"-",IF(B12="select","select",Flux*1000000/365))</f>
        <v>29967.159685039376</v>
      </c>
      <c r="C14" s="621">
        <f>IF(alpha.zorig&lt;&gt;0,"-",IF(B12="select","select",IF(Input!$E14&lt;&gt;0,"Can't Calc",0.001*Vs*n*Z*28.3*(($A8-$A9)*(C10+2*C9+2*C8)))/365))</f>
        <v>12848.437679808763</v>
      </c>
      <c r="D14" s="621">
        <f>IF(alpha.zorig&lt;&gt;0,"-",IF(C12="select","select",IF(Input!$E14&lt;&gt;0,"Can't Calc",0.001*Vs*n*Z*28.3*(($A8-$A9)*(D10+2*D9+2*D8)))/365))</f>
        <v>13381.385768801032</v>
      </c>
      <c r="E14" s="621">
        <f>IF(alpha.zorig&lt;&gt;0,"-",IF(D12="select","select",IF(Input!$E14&lt;&gt;0,"Can't Calc",0.001*Vs*n*Z*28.3*(($A8-$A9)*(E10+2*E9+2*E8)))/365))</f>
        <v>13962.418888434766</v>
      </c>
      <c r="F14" s="621">
        <f>IF(alpha.zorig&lt;&gt;0,"-",IF(E12="select","select",IF(Input!$E14&lt;&gt;0,"Can't Calc",0.001*Vs*n*Z*28.3*(($A8-$A9)*(F10+2*F9+2*F8)))/365))</f>
        <v>14579.55084550307</v>
      </c>
      <c r="G14" s="621">
        <f>IF(alpha.zorig&lt;&gt;0,"-",IF(F12="select","select",IF(Input!$E14&lt;&gt;0,"Can't Calc",0.001*Vs*n*Z*28.3*(($A8-$A9)*(G10+2*G9+2*G8)))/365))</f>
        <v>15197.795794860036</v>
      </c>
      <c r="H14" s="621">
        <f>IF(alpha.zorig&lt;&gt;0,"-",IF(G12="select","select",IF(Input!$E14&lt;&gt;0,"Can't Calc",0.001*Vs*n*Z*28.3*(($A8-$A9)*(H10+2*H9+2*H8)))/365))</f>
        <v>15734.142163973986</v>
      </c>
      <c r="I14" s="621">
        <f>IF(alpha.zorig&lt;&gt;0,"-",IF(H12="select","select",IF(Input!$E14&lt;&gt;0,"Can't Calc",0.001*Vs*n*Z*28.3*(($A8-$A9)*(I10+2*I9+2*I8)))/365))</f>
        <v>16028.098154903895</v>
      </c>
      <c r="J14" s="621">
        <f>IF(alpha.zorig&lt;&gt;0,"-",IF(I12="select","select",IF(Input!$E14&lt;&gt;0,"Can't Calc",0.001*Vs*n*Z*28.3*(($A8-$A9)*(J10+2*J9+2*J8)))/365))</f>
        <v>15838.12023121609</v>
      </c>
      <c r="K14" s="1138">
        <f>IF(alpha.zorig&lt;&gt;0,"-",IF(J12="select","select",IF(Input!$E14&lt;&gt;0,"Can't Calc",0.001*Vs*n*Z*28.3*(($A8-$A9)*(K10+2*K9+2*K8)))/365))</f>
        <v>14906.112571254691</v>
      </c>
      <c r="L14" s="622">
        <f>IF(alpha.zorig&lt;&gt;0,"-",IF(K12="select","select",IF(Input!$E14&lt;&gt;0,"Can't Calc",0.001*Vs*n*Z*28.3*(($A8-$A9)*(L10+2*L9+2*L8)))/365))</f>
        <v>13096.880883351547</v>
      </c>
      <c r="M14" s="268"/>
      <c r="N14" s="268"/>
      <c r="O14" s="268"/>
      <c r="Q14" s="751"/>
      <c r="R14" s="357"/>
      <c r="S14" s="357"/>
      <c r="T14" s="357"/>
      <c r="U14" s="357"/>
      <c r="V14" s="357"/>
      <c r="W14" s="357"/>
      <c r="X14" s="357"/>
      <c r="Y14" s="357"/>
      <c r="Z14" s="357"/>
      <c r="AA14" s="357"/>
      <c r="AB14" s="357"/>
    </row>
    <row r="15" spans="1:20" ht="15" customHeight="1" thickBot="1" thickTop="1">
      <c r="A15" s="1145" t="s">
        <v>151</v>
      </c>
      <c r="B15" s="1150">
        <f>IF(AND(alpha.zorig&lt;&gt;0,B12&lt;&gt;"select"),"Can't calculate mass flux when vertical dispersivity not equal to 0. Go back to Input worksheet and change Alpha_z =0 ","")</f>
      </c>
      <c r="C15" s="1150"/>
      <c r="D15" s="358"/>
      <c r="E15" s="268"/>
      <c r="F15" s="359" t="s">
        <v>703</v>
      </c>
      <c r="G15" s="607">
        <v>5</v>
      </c>
      <c r="H15" s="346"/>
      <c r="I15" s="1137"/>
      <c r="J15" s="1141" t="s">
        <v>656</v>
      </c>
      <c r="K15" s="1139">
        <v>10</v>
      </c>
      <c r="L15" s="268"/>
      <c r="M15" s="268"/>
      <c r="N15" s="268"/>
      <c r="O15" s="268"/>
      <c r="Q15" s="746" t="s">
        <v>152</v>
      </c>
      <c r="T15" s="746" t="s">
        <v>153</v>
      </c>
    </row>
    <row r="16" spans="1:15" ht="16.5" thickBot="1" thickTop="1">
      <c r="A16" s="1146" t="s">
        <v>154</v>
      </c>
      <c r="B16" s="1151"/>
      <c r="C16" s="1151"/>
      <c r="D16" s="358"/>
      <c r="E16" s="268"/>
      <c r="F16" s="360" t="s">
        <v>624</v>
      </c>
      <c r="G16" s="608">
        <v>500</v>
      </c>
      <c r="H16" s="346"/>
      <c r="I16" s="361" t="str">
        <f>"*Displayed Model is "&amp;IF(whichmodel="t","No Degradation.",IF(whichmodel="f","1st-order Decay. ",IF(whichmodel="i","Inst. Reaction.","Select Model")))&amp;""</f>
        <v>*Displayed Model is No Degradation.</v>
      </c>
      <c r="J16" s="325"/>
      <c r="K16" s="362"/>
      <c r="L16" s="346"/>
      <c r="M16" s="268"/>
      <c r="N16" s="268"/>
      <c r="O16" s="268"/>
    </row>
    <row r="17" spans="1:15" ht="16.5" thickBot="1" thickTop="1">
      <c r="A17" s="268"/>
      <c r="B17" s="1151"/>
      <c r="C17" s="1151"/>
      <c r="D17" s="268"/>
      <c r="E17" s="268"/>
      <c r="F17" s="360" t="s">
        <v>625</v>
      </c>
      <c r="G17" s="608">
        <v>90</v>
      </c>
      <c r="H17" s="346"/>
      <c r="I17" s="1140"/>
      <c r="J17" s="268"/>
      <c r="K17" s="268"/>
      <c r="L17" s="268"/>
      <c r="M17" s="268"/>
      <c r="N17" s="268"/>
      <c r="O17" s="268"/>
    </row>
    <row r="18" spans="1:28" ht="13.5" thickTop="1">
      <c r="A18" s="268"/>
      <c r="B18" s="268"/>
      <c r="C18" s="268"/>
      <c r="D18" s="268"/>
      <c r="E18" s="268"/>
      <c r="F18" s="268"/>
      <c r="G18" s="268">
        <v>175</v>
      </c>
      <c r="H18" s="268"/>
      <c r="I18" s="363" t="s">
        <v>155</v>
      </c>
      <c r="J18" s="268"/>
      <c r="K18" s="268"/>
      <c r="L18" s="268"/>
      <c r="M18" s="268"/>
      <c r="N18" s="268"/>
      <c r="O18" s="268"/>
      <c r="R18" s="364">
        <f>'Centerline Output'!$B$78</f>
        <v>6250.267520447139</v>
      </c>
      <c r="S18" s="365">
        <f>'Centerline Output'!$C$78</f>
        <v>6742.240971934068</v>
      </c>
      <c r="T18" s="365">
        <f>'Centerline Output'!$D$78</f>
        <v>7010.413947904706</v>
      </c>
      <c r="U18" s="365">
        <f>'Centerline Output'!$E$78</f>
        <v>4035.8041381900457</v>
      </c>
      <c r="V18" s="365">
        <f>'Centerline Output'!$F$78</f>
        <v>3840.0641682027817</v>
      </c>
      <c r="W18" s="365" t="e">
        <f>'Centerline Output'!$G$78</f>
        <v>#VALUE!</v>
      </c>
      <c r="X18" s="365" t="e">
        <f>'Centerline Output'!$H$78</f>
        <v>#VALUE!</v>
      </c>
      <c r="Y18" s="365" t="e">
        <f>'Centerline Output'!$I$78</f>
        <v>#VALUE!</v>
      </c>
      <c r="Z18" s="365" t="e">
        <f>'Centerline Output'!$J$78</f>
        <v>#VALUE!</v>
      </c>
      <c r="AA18" s="365" t="e">
        <f>'Centerline Output'!$K$78</f>
        <v>#VALUE!</v>
      </c>
      <c r="AB18" s="366" t="e">
        <f>'Centerline Output'!$L$78</f>
        <v>#VALUE!</v>
      </c>
    </row>
    <row r="19" spans="1:28" ht="12.75">
      <c r="A19" s="268"/>
      <c r="B19" s="268"/>
      <c r="C19" s="268"/>
      <c r="D19" s="268"/>
      <c r="E19" s="268"/>
      <c r="F19" s="268"/>
      <c r="G19" s="268"/>
      <c r="H19" s="268"/>
      <c r="I19" s="367"/>
      <c r="J19" s="368">
        <f>IF(OR(NoDegPMass&lt;0.02*NoDegMass,NoDegPMass&gt;3*NoDegMass),"Adjust  the modeled L and W to  capture more mass!","")</f>
      </c>
      <c r="K19" s="369"/>
      <c r="L19" s="369"/>
      <c r="M19" s="369"/>
      <c r="N19" s="370"/>
      <c r="O19" s="268"/>
      <c r="R19" s="371">
        <f>'Centerline Output'!$B$87</f>
        <v>6250.267520447139</v>
      </c>
      <c r="S19" s="372">
        <f>'Centerline Output'!$C$87</f>
        <v>2806.2794325871914</v>
      </c>
      <c r="T19" s="372">
        <f>'Centerline Output'!$D$87</f>
        <v>1183.8500003042566</v>
      </c>
      <c r="U19" s="372">
        <f>'Centerline Output'!$E$87</f>
        <v>322.0675547713727</v>
      </c>
      <c r="V19" s="372">
        <f>'Centerline Output'!$F$87</f>
        <v>129.80814196104893</v>
      </c>
      <c r="W19" s="372" t="e">
        <f>'Centerline Output'!$G$87</f>
        <v>#VALUE!</v>
      </c>
      <c r="X19" s="372" t="e">
        <f>'Centerline Output'!$H$87</f>
        <v>#VALUE!</v>
      </c>
      <c r="Y19" s="372" t="e">
        <f>'Centerline Output'!$I$87</f>
        <v>#VALUE!</v>
      </c>
      <c r="Z19" s="372" t="e">
        <f>'Centerline Output'!$J$87</f>
        <v>#VALUE!</v>
      </c>
      <c r="AA19" s="372" t="e">
        <f>'Centerline Output'!$K$87</f>
        <v>#VALUE!</v>
      </c>
      <c r="AB19" s="373" t="e">
        <f>'Centerline Output'!$L$87</f>
        <v>#VALUE!</v>
      </c>
    </row>
    <row r="20" spans="1:16" ht="12.75">
      <c r="A20" s="268"/>
      <c r="B20" s="268"/>
      <c r="C20" s="268"/>
      <c r="D20" s="268"/>
      <c r="E20" s="268"/>
      <c r="F20" s="268"/>
      <c r="G20" s="268"/>
      <c r="H20" s="268"/>
      <c r="I20" s="374"/>
      <c r="J20" s="325"/>
      <c r="K20" s="325"/>
      <c r="L20" s="375" t="s">
        <v>558</v>
      </c>
      <c r="M20" s="376">
        <f>IF(whichmodel="w","",IF(OR(NoDegPMass&lt;0.2*NoDegMass,NoDegPMass&gt;3*NoDegMass),"Can't Calc.",IF(whichmodel="i",InstOrigMass,IF(whichmodel="T",NoDegMass,IF(whichmodel="F",NoDegMass)))))</f>
        <v>77.65586334286627</v>
      </c>
      <c r="N20" s="377" t="s">
        <v>76</v>
      </c>
      <c r="O20" s="268"/>
      <c r="P20" s="525">
        <f>IF(whichmodel="w","",IF(OR(NoDegPMass&lt;0.5*NoDegMass,NoDegPMass&gt;3*NoDegMass),"Can't Calc.",IF(whichmodel="i",InstOrigMass,IF(whichmodel="T",NoDegMass,IF(whichmodel="F",NoDegMass)))))</f>
        <v>77.65586334286627</v>
      </c>
    </row>
    <row r="21" spans="1:15" ht="12.75">
      <c r="A21" s="268"/>
      <c r="B21" s="268"/>
      <c r="C21" s="268"/>
      <c r="D21" s="268"/>
      <c r="E21" s="268"/>
      <c r="F21" s="268"/>
      <c r="G21" s="268"/>
      <c r="H21" s="268"/>
      <c r="I21" s="378"/>
      <c r="J21" s="325"/>
      <c r="K21" s="325"/>
      <c r="L21" s="379"/>
      <c r="M21" s="325"/>
      <c r="N21" s="380"/>
      <c r="O21" s="268"/>
    </row>
    <row r="22" spans="1:16" ht="12.75" customHeight="1">
      <c r="A22" s="268"/>
      <c r="B22" s="268"/>
      <c r="C22" s="268"/>
      <c r="D22" s="268"/>
      <c r="E22" s="268"/>
      <c r="F22" s="268"/>
      <c r="G22" s="268"/>
      <c r="H22" s="268"/>
      <c r="I22" s="381"/>
      <c r="J22" s="325"/>
      <c r="K22" s="325"/>
      <c r="L22" s="375" t="str">
        <f>"- Actual Plume Mass:"</f>
        <v>- Actual Plume Mass:</v>
      </c>
      <c r="M22" s="376">
        <f>IF(M20="Can't Calc.","Can't Calc.",IF(whichmodel="t",NoDegMass,IF(whichmodel="i",InstOrigMass*(1-FracBIODInst),IF(whichmodel="f",NoDegMass*(1-FracBIOD1st),""))))</f>
        <v>77.65586334286627</v>
      </c>
      <c r="N22" s="377" t="s">
        <v>76</v>
      </c>
      <c r="O22" s="268"/>
      <c r="P22" s="525">
        <f>IF(M20="Can't Calc.","Can't Calc.",IF(whichmodel="t",NoDegMass,IF(whichmodel="i",InstOrigMass*(1-FracBIODInst),IF(whichmodel="f",NoDegMass*(1-FracBIOD1st),""))))</f>
        <v>77.65586334286627</v>
      </c>
    </row>
    <row r="23" spans="1:18" ht="13.5" thickBot="1">
      <c r="A23" s="268"/>
      <c r="B23" s="268"/>
      <c r="C23" s="268"/>
      <c r="D23" s="268"/>
      <c r="E23" s="268"/>
      <c r="F23" s="268"/>
      <c r="G23" s="268"/>
      <c r="H23" s="268"/>
      <c r="I23" s="374"/>
      <c r="J23" s="325"/>
      <c r="K23" s="325"/>
      <c r="L23" s="379"/>
      <c r="M23" s="325"/>
      <c r="N23" s="380"/>
      <c r="O23" s="268"/>
      <c r="R23" s="525">
        <f>IF(whichmodel="t",IF(OR(NoDegPMass&lt;0.5*NoDegMass,NoDegPMass&gt;1.5*NoDegMass),"Can't Calc.",NoDegMass),IF(whichmodel="i",IF(OR(InstorigPMass&lt;0.5*InstOrigMass,InstorigPMass&gt;1.5*InstOrigMass),"Can't Calc.",InstOrigMass),IF(whichmodel="f",IF(OR(NoDegPMass&lt;0.5*NoDegMass,NoDegPMass&gt;1.5*NoDegMass),"Can't Calc.",NoDegMass),"")))</f>
        <v>77.65586334286627</v>
      </c>
    </row>
    <row r="24" spans="1:16" ht="14.25" thickBot="1" thickTop="1">
      <c r="A24" s="268"/>
      <c r="B24" s="268"/>
      <c r="C24" s="268"/>
      <c r="D24" s="268"/>
      <c r="E24" s="268"/>
      <c r="F24" s="268"/>
      <c r="G24" s="268"/>
      <c r="H24" s="268"/>
      <c r="I24" s="374"/>
      <c r="J24" s="325"/>
      <c r="K24" s="325"/>
      <c r="L24" s="375" t="str">
        <f>"= Plume Mass Removed by Biodegradation: "</f>
        <v>= Plume Mass Removed by Biodegradation: </v>
      </c>
      <c r="M24" s="382">
        <f>IF($M$20="Can't Calc."," - ",IF(whichmodel="w","",$M$20-$M$22))</f>
        <v>0</v>
      </c>
      <c r="N24" s="377" t="s">
        <v>76</v>
      </c>
      <c r="O24" s="268"/>
      <c r="P24" s="752">
        <f>IF($P$20="Can't Calc."," - ",IF(whichmodel="w","",$P$20-$P$22))</f>
        <v>0</v>
      </c>
    </row>
    <row r="25" spans="1:15" ht="14.25" thickBot="1" thickTop="1">
      <c r="A25" s="268"/>
      <c r="B25" s="268"/>
      <c r="C25" s="268"/>
      <c r="D25" s="268"/>
      <c r="E25" s="268"/>
      <c r="F25" s="268"/>
      <c r="G25" s="268"/>
      <c r="H25" s="268"/>
      <c r="I25" s="374"/>
      <c r="J25" s="383"/>
      <c r="K25" s="383"/>
      <c r="L25" s="384"/>
      <c r="M25" s="325"/>
      <c r="N25" s="392" t="str">
        <f>IF(M20="Can't Calc.","  ",IF(whichmodel="t","0 %",IF(whichmodel="i",-FracBIODInst,IF(whichmodel="f",-FracBIOD1st,""))))</f>
        <v>0 %</v>
      </c>
      <c r="O25" s="268"/>
    </row>
    <row r="26" spans="1:20" ht="13.5" thickTop="1">
      <c r="A26" s="268"/>
      <c r="B26" s="268"/>
      <c r="C26" s="268"/>
      <c r="D26" s="268"/>
      <c r="E26" s="268"/>
      <c r="F26" s="268"/>
      <c r="G26" s="268"/>
      <c r="H26" s="268"/>
      <c r="I26" s="639"/>
      <c r="J26" s="637"/>
      <c r="K26" s="637"/>
      <c r="L26" s="637"/>
      <c r="M26" s="638" t="s">
        <v>604</v>
      </c>
      <c r="N26" s="640"/>
      <c r="O26" s="268"/>
      <c r="Q26" s="714"/>
      <c r="R26" s="714"/>
      <c r="S26" s="714"/>
      <c r="T26" s="714"/>
    </row>
    <row r="27" spans="1:20" ht="12.75">
      <c r="A27" s="268"/>
      <c r="B27" s="268"/>
      <c r="C27" s="268"/>
      <c r="D27" s="268"/>
      <c r="E27" s="268"/>
      <c r="F27" s="268"/>
      <c r="G27" s="268"/>
      <c r="H27" s="268"/>
      <c r="I27" s="913" t="s">
        <v>156</v>
      </c>
      <c r="J27" s="914" t="s">
        <v>157</v>
      </c>
      <c r="K27" s="914" t="s">
        <v>496</v>
      </c>
      <c r="L27" s="914" t="s">
        <v>158</v>
      </c>
      <c r="M27" s="914" t="s">
        <v>159</v>
      </c>
      <c r="N27" s="915" t="s">
        <v>557</v>
      </c>
      <c r="O27" s="268"/>
      <c r="Q27" s="714"/>
      <c r="R27" s="714"/>
      <c r="S27" s="714"/>
      <c r="T27" s="714"/>
    </row>
    <row r="28" spans="1:20" ht="13.5" thickBot="1">
      <c r="A28" s="268"/>
      <c r="B28" s="268"/>
      <c r="C28" s="268"/>
      <c r="D28" s="268"/>
      <c r="E28" s="268"/>
      <c r="F28" s="268"/>
      <c r="G28" s="268"/>
      <c r="H28" s="268"/>
      <c r="I28" s="641" t="str">
        <f>IF(whichmodel="i",IF($M$24=" - "," - ",$M$24*-Input!K$81*Input!K$82),"na")</f>
        <v>na</v>
      </c>
      <c r="J28" s="642" t="str">
        <f>IF(whichmodel="i",IF($M$24=" - "," - ",$M$24*-Input!L$81*Input!L$82),"na")</f>
        <v>na</v>
      </c>
      <c r="K28" s="642" t="str">
        <f>IF(whichmodel="i",IF($M$24=" - "," - ",$M$24*Input!M$81*Input!M$82),"na")</f>
        <v>na</v>
      </c>
      <c r="L28" s="642" t="str">
        <f>IF(whichmodel="i",IF($M$24=" - "," - ",$M$24*-Input!N$81*Input!N$82),"na")</f>
        <v>na</v>
      </c>
      <c r="M28" s="642" t="str">
        <f>IF(whichmodel="i",IF($M$24=" - "," - ",$M$24*Input!O$81*Input!O$82),"na")</f>
        <v>na</v>
      </c>
      <c r="N28" s="643" t="str">
        <f>IF(whichmodel="i",IF($M$24=" - "," - ",$M$24*Input!P$81*Input!P$82),"na")</f>
        <v>na</v>
      </c>
      <c r="O28" s="268"/>
      <c r="Q28" s="714"/>
      <c r="R28" s="714"/>
      <c r="S28" s="714"/>
      <c r="T28" s="714"/>
    </row>
    <row r="29" spans="1:20" ht="13.5" thickTop="1">
      <c r="A29" s="268"/>
      <c r="B29" s="268"/>
      <c r="C29" s="268"/>
      <c r="D29" s="268"/>
      <c r="E29" s="268"/>
      <c r="F29" s="268"/>
      <c r="G29" s="268"/>
      <c r="H29" s="380"/>
      <c r="I29" s="385"/>
      <c r="J29" s="325"/>
      <c r="K29" s="325"/>
      <c r="L29" s="379"/>
      <c r="M29" s="325"/>
      <c r="N29" s="380"/>
      <c r="O29" s="268"/>
      <c r="Q29" s="714"/>
      <c r="R29" s="714"/>
      <c r="S29" s="714"/>
      <c r="T29" s="714"/>
    </row>
    <row r="30" spans="1:20" ht="12.75">
      <c r="A30" s="268"/>
      <c r="B30" s="268"/>
      <c r="C30" s="268"/>
      <c r="D30" s="268"/>
      <c r="E30" s="268"/>
      <c r="F30" s="268"/>
      <c r="G30" s="268"/>
      <c r="H30" s="268"/>
      <c r="I30" s="386"/>
      <c r="J30" s="325"/>
      <c r="K30" s="325"/>
      <c r="L30" s="916" t="s">
        <v>657</v>
      </c>
      <c r="M30" s="917">
        <f>Total_Mass</f>
        <v>150</v>
      </c>
      <c r="N30" s="918" t="s">
        <v>76</v>
      </c>
      <c r="O30" s="268"/>
      <c r="P30" s="525">
        <f>Total_Mass</f>
        <v>150</v>
      </c>
      <c r="Q30" s="714"/>
      <c r="R30" s="714"/>
      <c r="S30" s="714"/>
      <c r="T30" s="714"/>
    </row>
    <row r="31" spans="1:20" ht="12.75">
      <c r="A31" s="268"/>
      <c r="B31" s="268"/>
      <c r="C31" s="268"/>
      <c r="D31" s="268"/>
      <c r="E31" s="268"/>
      <c r="F31" s="268"/>
      <c r="G31" s="268"/>
      <c r="H31" s="268"/>
      <c r="I31" s="385"/>
      <c r="J31" s="325"/>
      <c r="K31" s="325"/>
      <c r="L31" s="916" t="str">
        <f>"Contam. Mass in Source Now (t="&amp;t_simulation&amp;" years):"</f>
        <v>Contam. Mass in Source Now (t=10 years):</v>
      </c>
      <c r="M31" s="917">
        <f>IF(Total_Mass="Infinite","Infinite",IF(whichmodel="w","",IF(whichmodel="i",Total_Mass*EXP(-ksourceinst*t_simulation),Total_Mass*EXP(-ksource*t_simulation))))</f>
        <v>72.34413665713373</v>
      </c>
      <c r="N31" s="918" t="s">
        <v>76</v>
      </c>
      <c r="O31" s="268"/>
      <c r="P31" s="525">
        <f>IF(Total_Mass="Infinite","Infinite",IF(whichmodel="w","",IF(whichmodel="i",Total_Mass*EXP(-ksourceinst*t_simulation),Total_Mass*EXP(-ksource*t))))</f>
        <v>104.1711116316326</v>
      </c>
      <c r="Q31" s="714"/>
      <c r="R31" s="714"/>
      <c r="S31" s="714"/>
      <c r="T31" s="714"/>
    </row>
    <row r="32" spans="1:20" ht="12.75">
      <c r="A32" s="268"/>
      <c r="B32" s="268"/>
      <c r="C32" s="268"/>
      <c r="D32" s="268"/>
      <c r="E32" s="268"/>
      <c r="F32" s="268"/>
      <c r="G32" s="268"/>
      <c r="H32" s="268"/>
      <c r="I32" s="385"/>
      <c r="J32" s="325"/>
      <c r="K32" s="325"/>
      <c r="L32" s="919"/>
      <c r="M32" s="920"/>
      <c r="N32" s="921"/>
      <c r="O32" s="268"/>
      <c r="Q32" s="714"/>
      <c r="R32" s="714"/>
      <c r="S32" s="714"/>
      <c r="T32" s="714"/>
    </row>
    <row r="33" spans="1:20" ht="12.75">
      <c r="A33" s="268"/>
      <c r="B33" s="268"/>
      <c r="C33" s="268"/>
      <c r="D33" s="268"/>
      <c r="E33" s="268"/>
      <c r="F33" s="268"/>
      <c r="G33" s="268"/>
      <c r="H33" s="268"/>
      <c r="I33" s="385"/>
      <c r="J33" s="387"/>
      <c r="K33" s="387"/>
      <c r="L33" s="916" t="s">
        <v>658</v>
      </c>
      <c r="M33" s="917">
        <f>IF(whichmodel="w","",IF(OR(NoDegPMass&lt;0.02*NoDegMass,NoDegPMass&gt;3*NoDegMass),"Can't Calc.",COUNTIF(B8:L12,"&gt;0.005")*(D60-C60)*(B62-B61)*Z*n/43560))</f>
        <v>4.261355113636363</v>
      </c>
      <c r="N33" s="922" t="s">
        <v>494</v>
      </c>
      <c r="O33" s="268"/>
      <c r="Q33" s="714"/>
      <c r="R33" s="714"/>
      <c r="S33" s="714"/>
      <c r="T33" s="714"/>
    </row>
    <row r="34" spans="1:20" ht="12.75">
      <c r="A34" s="268"/>
      <c r="B34" s="268"/>
      <c r="C34" s="268"/>
      <c r="D34" s="268"/>
      <c r="E34" s="268"/>
      <c r="F34" s="268"/>
      <c r="G34" s="268"/>
      <c r="H34" s="268"/>
      <c r="I34" s="385"/>
      <c r="J34" s="387"/>
      <c r="K34" s="387"/>
      <c r="L34" s="916" t="s">
        <v>659</v>
      </c>
      <c r="M34" s="923">
        <f>IF(whichmodel="w","",IF(OR(NoDegPMass&lt;0.02*NoDegMass,NoDegPMass&gt;3*NoDegMass),"Can't Calc.",Q/28.3/43560))</f>
        <v>1.959556191839657</v>
      </c>
      <c r="N34" s="922" t="s">
        <v>495</v>
      </c>
      <c r="O34" s="268"/>
      <c r="P34" s="525">
        <f>COUNTIF(B8:L12,"&gt;0")</f>
        <v>55</v>
      </c>
      <c r="Q34" s="714"/>
      <c r="R34" s="714"/>
      <c r="S34" s="714"/>
      <c r="T34" s="714"/>
    </row>
    <row r="35" spans="1:15" ht="12.75">
      <c r="A35" s="268"/>
      <c r="B35" s="268"/>
      <c r="C35" s="268"/>
      <c r="D35" s="268"/>
      <c r="E35" s="268"/>
      <c r="F35" s="268"/>
      <c r="G35" s="268"/>
      <c r="H35" s="268"/>
      <c r="I35" s="388"/>
      <c r="J35" s="389"/>
      <c r="K35" s="389"/>
      <c r="L35" s="389"/>
      <c r="M35" s="389"/>
      <c r="N35" s="390"/>
      <c r="O35" s="268"/>
    </row>
    <row r="36" spans="1:15" ht="12.75">
      <c r="A36" s="268"/>
      <c r="B36" s="268"/>
      <c r="C36" s="268"/>
      <c r="D36" s="268"/>
      <c r="E36" s="268"/>
      <c r="F36" s="268"/>
      <c r="G36" s="268"/>
      <c r="H36" s="268"/>
      <c r="I36" s="268"/>
      <c r="J36" s="268"/>
      <c r="K36" s="268"/>
      <c r="L36" s="268"/>
      <c r="M36" s="268"/>
      <c r="N36" s="268"/>
      <c r="O36" s="268"/>
    </row>
    <row r="37" spans="1:15" ht="12.75">
      <c r="A37" s="268"/>
      <c r="B37" s="268"/>
      <c r="C37" s="268"/>
      <c r="D37" s="268"/>
      <c r="E37" s="268"/>
      <c r="F37" s="268"/>
      <c r="G37" s="268"/>
      <c r="H37" s="268"/>
      <c r="I37" s="268"/>
      <c r="J37" s="268"/>
      <c r="K37" s="268"/>
      <c r="L37" s="268"/>
      <c r="M37" s="268"/>
      <c r="N37" s="268"/>
      <c r="O37" s="268"/>
    </row>
    <row r="38" spans="1:15" ht="12.75">
      <c r="A38" s="268"/>
      <c r="B38" s="268"/>
      <c r="C38" s="268"/>
      <c r="D38" s="268"/>
      <c r="E38" s="268"/>
      <c r="F38" s="268"/>
      <c r="G38" s="268"/>
      <c r="H38" s="268"/>
      <c r="I38" s="268"/>
      <c r="J38" s="268"/>
      <c r="K38" s="268"/>
      <c r="L38" s="268"/>
      <c r="M38" s="268"/>
      <c r="N38" s="268"/>
      <c r="O38" s="268"/>
    </row>
    <row r="39" spans="3:13" ht="12.75">
      <c r="C39" s="525"/>
      <c r="D39" s="525"/>
      <c r="E39" s="525"/>
      <c r="F39" s="525"/>
      <c r="G39" s="525"/>
      <c r="H39" s="525"/>
      <c r="I39" s="525"/>
      <c r="J39" s="525"/>
      <c r="K39" s="525"/>
      <c r="L39" s="525"/>
      <c r="M39" s="525"/>
    </row>
    <row r="40" spans="3:13" ht="12.75">
      <c r="C40" s="525"/>
      <c r="D40" s="525"/>
      <c r="E40" s="525"/>
      <c r="F40" s="525"/>
      <c r="G40" s="525"/>
      <c r="H40" s="525"/>
      <c r="I40" s="525"/>
      <c r="J40" s="525"/>
      <c r="K40" s="525"/>
      <c r="L40" s="525"/>
      <c r="M40" s="525"/>
    </row>
    <row r="41" spans="1:13" ht="12.75">
      <c r="A41" s="753"/>
      <c r="B41" s="753" t="s">
        <v>34</v>
      </c>
      <c r="C41" s="525"/>
      <c r="D41" s="525"/>
      <c r="E41" s="525"/>
      <c r="F41" s="525"/>
      <c r="G41" s="525"/>
      <c r="H41" s="525"/>
      <c r="I41" s="525"/>
      <c r="J41" s="525"/>
      <c r="K41" s="525"/>
      <c r="L41" s="525"/>
      <c r="M41" s="525"/>
    </row>
    <row r="42" spans="3:13" ht="12.75">
      <c r="C42" s="525"/>
      <c r="D42" s="525"/>
      <c r="E42" s="525"/>
      <c r="F42" s="525"/>
      <c r="G42" s="525"/>
      <c r="H42" s="525"/>
      <c r="I42" s="525"/>
      <c r="J42" s="525"/>
      <c r="K42" s="525"/>
      <c r="L42" s="525"/>
      <c r="M42" s="525"/>
    </row>
    <row r="43" spans="3:9" ht="12.75">
      <c r="C43" s="525"/>
      <c r="D43" s="525"/>
      <c r="E43" s="525"/>
      <c r="F43" s="525"/>
      <c r="G43" s="525"/>
      <c r="H43" s="525"/>
      <c r="I43" s="525"/>
    </row>
    <row r="44" spans="3:9" ht="12.75">
      <c r="C44" s="525"/>
      <c r="D44" s="525"/>
      <c r="E44" s="525"/>
      <c r="F44" s="525"/>
      <c r="G44" s="525"/>
      <c r="H44" s="525"/>
      <c r="I44" s="525"/>
    </row>
    <row r="45" spans="6:8" ht="12.75">
      <c r="F45" s="525"/>
      <c r="G45" s="525"/>
      <c r="H45" s="525"/>
    </row>
    <row r="46" spans="6:14" ht="12.75">
      <c r="F46" s="525"/>
      <c r="G46" s="525"/>
      <c r="H46" s="525"/>
      <c r="N46" s="754"/>
    </row>
    <row r="47" spans="6:8" ht="12.75">
      <c r="F47" s="525"/>
      <c r="G47" s="525"/>
      <c r="H47" s="525"/>
    </row>
    <row r="48" spans="2:8" ht="12.75">
      <c r="B48" s="525" t="s">
        <v>163</v>
      </c>
      <c r="C48" s="745">
        <v>1</v>
      </c>
      <c r="F48" s="525"/>
      <c r="G48" s="525"/>
      <c r="H48" s="525"/>
    </row>
    <row r="49" spans="2:3" ht="12.75">
      <c r="B49" s="525" t="s">
        <v>164</v>
      </c>
      <c r="C49" s="745">
        <f>(2*(alpha.x*Vc*t_simulation)^0.5)</f>
        <v>172.68542060030353</v>
      </c>
    </row>
    <row r="50" ht="12.75">
      <c r="B50" s="525" t="s">
        <v>165</v>
      </c>
    </row>
    <row r="52" spans="2:13" ht="12.75">
      <c r="B52" s="746" t="s">
        <v>123</v>
      </c>
      <c r="C52" s="755">
        <v>1</v>
      </c>
      <c r="D52" s="755">
        <v>1</v>
      </c>
      <c r="E52" s="755">
        <v>1</v>
      </c>
      <c r="F52" s="755">
        <v>1</v>
      </c>
      <c r="G52" s="755">
        <v>1</v>
      </c>
      <c r="H52" s="755">
        <v>1</v>
      </c>
      <c r="I52" s="755">
        <v>1</v>
      </c>
      <c r="J52" s="755">
        <v>1</v>
      </c>
      <c r="K52" s="755">
        <v>1</v>
      </c>
      <c r="L52" s="755">
        <v>1</v>
      </c>
      <c r="M52" s="755">
        <v>1</v>
      </c>
    </row>
    <row r="53" spans="2:13" ht="12.75">
      <c r="B53" s="525" t="s">
        <v>124</v>
      </c>
      <c r="C53" s="745">
        <f aca="true" t="shared" si="3" ref="C53:M53">((C60-Vc*t_simulation*const1))/const2</f>
        <v>-3.2086927948685684</v>
      </c>
      <c r="D53" s="745">
        <f t="shared" si="3"/>
        <v>-2.9191495327553794</v>
      </c>
      <c r="E53" s="745">
        <f t="shared" si="3"/>
        <v>-2.6296056915545076</v>
      </c>
      <c r="F53" s="745">
        <f t="shared" si="3"/>
        <v>-2.340061850353636</v>
      </c>
      <c r="G53" s="745">
        <f t="shared" si="3"/>
        <v>-2.0505180091527646</v>
      </c>
      <c r="H53" s="745">
        <f t="shared" si="3"/>
        <v>-1.7609741679518929</v>
      </c>
      <c r="I53" s="745">
        <f t="shared" si="3"/>
        <v>-1.4714303267510214</v>
      </c>
      <c r="J53" s="745">
        <f t="shared" si="3"/>
        <v>-1.1818864855501499</v>
      </c>
      <c r="K53" s="745">
        <f t="shared" si="3"/>
        <v>-0.8923426443492782</v>
      </c>
      <c r="L53" s="745">
        <f t="shared" si="3"/>
        <v>-0.6027988031484067</v>
      </c>
      <c r="M53" s="745">
        <f t="shared" si="3"/>
        <v>-0.3132549619475351</v>
      </c>
    </row>
    <row r="54" spans="2:13" ht="12.75">
      <c r="B54" s="746" t="s">
        <v>125</v>
      </c>
      <c r="C54" s="756">
        <f>gerfC(C53)</f>
        <v>1.9999943149632224</v>
      </c>
      <c r="D54" s="756">
        <f aca="true" t="shared" si="4" ref="D54:M54">gerfC(D53)</f>
        <v>1.999963454622654</v>
      </c>
      <c r="E54" s="756">
        <f t="shared" si="4"/>
        <v>1.999799847563677</v>
      </c>
      <c r="F54" s="756">
        <f t="shared" si="4"/>
        <v>1.9990648620166147</v>
      </c>
      <c r="G54" s="756">
        <f t="shared" si="4"/>
        <v>1.996266829902586</v>
      </c>
      <c r="H54" s="756">
        <f t="shared" si="4"/>
        <v>1.9872398294090978</v>
      </c>
      <c r="I54" s="756">
        <f t="shared" si="4"/>
        <v>1.9625584744239561</v>
      </c>
      <c r="J54" s="756">
        <f t="shared" si="4"/>
        <v>1.905365182452809</v>
      </c>
      <c r="K54" s="756">
        <f t="shared" si="4"/>
        <v>1.7930379116684785</v>
      </c>
      <c r="L54" s="756">
        <f t="shared" si="4"/>
        <v>1.6060557304218102</v>
      </c>
      <c r="M54" s="756">
        <f t="shared" si="4"/>
        <v>1.3422411064482462</v>
      </c>
    </row>
    <row r="55" spans="2:13" ht="12.75">
      <c r="B55" s="525" t="s">
        <v>166</v>
      </c>
      <c r="C55" s="745">
        <f>Z/(2*(alpha.z*C60)^0.5)</f>
        <v>1.5811388300841896E+52</v>
      </c>
      <c r="D55" s="745">
        <f aca="true" t="shared" si="5" ref="D55:M55">Z/(2*(alpha.z*D60)^0.5)</f>
        <v>2.2360679774997895E+49</v>
      </c>
      <c r="E55" s="745">
        <f t="shared" si="5"/>
        <v>1.5811388300841896E+49</v>
      </c>
      <c r="F55" s="745">
        <f t="shared" si="5"/>
        <v>1.2909944487358057E+49</v>
      </c>
      <c r="G55" s="745">
        <f t="shared" si="5"/>
        <v>1.1180339887498947E+49</v>
      </c>
      <c r="H55" s="745">
        <f t="shared" si="5"/>
        <v>9.999999999999998E+48</v>
      </c>
      <c r="I55" s="745">
        <f t="shared" si="5"/>
        <v>9.128709291752768E+48</v>
      </c>
      <c r="J55" s="745">
        <f t="shared" si="5"/>
        <v>8.451542547285166E+48</v>
      </c>
      <c r="K55" s="745">
        <f t="shared" si="5"/>
        <v>7.905694150420948E+48</v>
      </c>
      <c r="L55" s="745">
        <f t="shared" si="5"/>
        <v>7.453559924999299E+48</v>
      </c>
      <c r="M55" s="745">
        <f t="shared" si="5"/>
        <v>7.071067811865475E+48</v>
      </c>
    </row>
    <row r="56" spans="2:13" ht="12.75">
      <c r="B56" s="525" t="s">
        <v>167</v>
      </c>
      <c r="C56" s="756">
        <f>2*gerf(C55)</f>
        <v>2</v>
      </c>
      <c r="D56" s="756">
        <f aca="true" t="shared" si="6" ref="D56:M56">2*gerf(D55)</f>
        <v>2</v>
      </c>
      <c r="E56" s="756">
        <f t="shared" si="6"/>
        <v>2</v>
      </c>
      <c r="F56" s="756">
        <f t="shared" si="6"/>
        <v>2</v>
      </c>
      <c r="G56" s="756">
        <f t="shared" si="6"/>
        <v>2</v>
      </c>
      <c r="H56" s="756">
        <f t="shared" si="6"/>
        <v>2</v>
      </c>
      <c r="I56" s="756">
        <f t="shared" si="6"/>
        <v>2</v>
      </c>
      <c r="J56" s="756">
        <f t="shared" si="6"/>
        <v>2</v>
      </c>
      <c r="K56" s="756">
        <f t="shared" si="6"/>
        <v>2</v>
      </c>
      <c r="L56" s="756">
        <f t="shared" si="6"/>
        <v>2</v>
      </c>
      <c r="M56" s="756">
        <f t="shared" si="6"/>
        <v>2</v>
      </c>
    </row>
    <row r="58" spans="1:13" ht="12.75">
      <c r="A58" s="525" t="s">
        <v>168</v>
      </c>
      <c r="C58" s="757">
        <f>C60/Vc</f>
        <v>1.8047460910474608E-06</v>
      </c>
      <c r="D58" s="745">
        <f aca="true" t="shared" si="7" ref="D58:I58">D60/Vc</f>
        <v>0.9023730455237303</v>
      </c>
      <c r="E58" s="745">
        <f t="shared" si="7"/>
        <v>1.8047460910474606</v>
      </c>
      <c r="F58" s="745">
        <f t="shared" si="7"/>
        <v>2.707119136571191</v>
      </c>
      <c r="G58" s="745">
        <f t="shared" si="7"/>
        <v>3.6094921820949213</v>
      </c>
      <c r="H58" s="745">
        <f t="shared" si="7"/>
        <v>4.511865227618652</v>
      </c>
      <c r="I58" s="745">
        <f t="shared" si="7"/>
        <v>5.414238273142382</v>
      </c>
      <c r="J58" s="745">
        <f>J60/Vc</f>
        <v>6.316611318666112</v>
      </c>
      <c r="K58" s="745">
        <f>K60/Vc</f>
        <v>7.218984364189843</v>
      </c>
      <c r="L58" s="745">
        <f>L60/Vc</f>
        <v>8.121357409713573</v>
      </c>
      <c r="M58" s="745">
        <f>M60/Vc</f>
        <v>9.023730455237304</v>
      </c>
    </row>
    <row r="60" spans="3:13" ht="12.75">
      <c r="C60" s="758">
        <v>0.0001</v>
      </c>
      <c r="D60" s="758">
        <f>delx</f>
        <v>50</v>
      </c>
      <c r="E60" s="758">
        <f>2*delx</f>
        <v>100</v>
      </c>
      <c r="F60" s="758">
        <f>3*delx</f>
        <v>150</v>
      </c>
      <c r="G60" s="758">
        <f>4*delx</f>
        <v>200</v>
      </c>
      <c r="H60" s="758">
        <f>5*delx</f>
        <v>250</v>
      </c>
      <c r="I60" s="758">
        <f>6*delx</f>
        <v>300</v>
      </c>
      <c r="J60" s="758">
        <f>7*delx</f>
        <v>350</v>
      </c>
      <c r="K60" s="758">
        <f>8*delx</f>
        <v>400</v>
      </c>
      <c r="L60" s="758">
        <f>9*delx</f>
        <v>450</v>
      </c>
      <c r="M60" s="758">
        <f>10*delx</f>
        <v>500</v>
      </c>
    </row>
    <row r="61" spans="1:13" ht="12.75">
      <c r="A61" s="525" t="s">
        <v>42</v>
      </c>
      <c r="B61" s="759">
        <v>0</v>
      </c>
      <c r="C61" s="745">
        <f>gerf(($B61+Y.1/2)/(2*(alpha.y*C$60)^0.5))-gerf(($B61-Y.1/2)/(2*(alpha.y*C$60)^0.5))</f>
        <v>2</v>
      </c>
      <c r="D61" s="745">
        <f aca="true" t="shared" si="8" ref="D61:M63">gerf(($B61+Y.1/2)/(2*(alpha.y*D$60)^0.5))-gerf(($B61-Y.1/2)/(2*(alpha.y*D$60)^0.5))</f>
        <v>2</v>
      </c>
      <c r="E61" s="745">
        <f t="shared" si="8"/>
        <v>1.9999999999999494</v>
      </c>
      <c r="F61" s="745">
        <f t="shared" si="8"/>
        <v>1.9999999990169983</v>
      </c>
      <c r="G61" s="745">
        <f t="shared" si="8"/>
        <v>1.9999998576916624</v>
      </c>
      <c r="H61" s="745">
        <f t="shared" si="8"/>
        <v>1.999997119916493</v>
      </c>
      <c r="I61" s="745">
        <f t="shared" si="8"/>
        <v>1.9999782971826383</v>
      </c>
      <c r="J61" s="745">
        <f t="shared" si="8"/>
        <v>1.999907225184728</v>
      </c>
      <c r="K61" s="745">
        <f t="shared" si="8"/>
        <v>1.999722128635777</v>
      </c>
      <c r="L61" s="745">
        <f t="shared" si="8"/>
        <v>1.9993440897176793</v>
      </c>
      <c r="M61" s="745">
        <f t="shared" si="8"/>
        <v>1.9986903045780915</v>
      </c>
    </row>
    <row r="62" spans="2:13" ht="12.75">
      <c r="B62" s="759">
        <f>dely</f>
        <v>22.5</v>
      </c>
      <c r="C62" s="745">
        <f>gerf(($B62+Y.1/2)/(2*(alpha.y*C$60)^0.5))-gerf(($B62-Y.1/2)/(2*(alpha.y*C$60)^0.5))</f>
        <v>2</v>
      </c>
      <c r="D62" s="745">
        <f t="shared" si="8"/>
        <v>2</v>
      </c>
      <c r="E62" s="745">
        <f t="shared" si="8"/>
        <v>1.9999999995855624</v>
      </c>
      <c r="F62" s="745">
        <f t="shared" si="8"/>
        <v>1.9999996636885138</v>
      </c>
      <c r="G62" s="745">
        <f t="shared" si="8"/>
        <v>1.9999900540787414</v>
      </c>
      <c r="H62" s="745">
        <f t="shared" si="8"/>
        <v>1.999922451509057</v>
      </c>
      <c r="I62" s="745">
        <f t="shared" si="8"/>
        <v>1.9996907105058046</v>
      </c>
      <c r="J62" s="745">
        <f t="shared" si="8"/>
        <v>1.9991605542036055</v>
      </c>
      <c r="K62" s="745">
        <f t="shared" si="8"/>
        <v>1.9982104540206396</v>
      </c>
      <c r="L62" s="745">
        <f t="shared" si="8"/>
        <v>1.9967538872607946</v>
      </c>
      <c r="M62" s="745">
        <f t="shared" si="8"/>
        <v>1.9947426531085375</v>
      </c>
    </row>
    <row r="63" spans="2:13" ht="12.75">
      <c r="B63" s="759">
        <f>2*dely</f>
        <v>45</v>
      </c>
      <c r="C63" s="745">
        <f>gerf(($B63+Y.1/2)/(2*(alpha.y*C$60)^0.5))-gerf(($B63-Y.1/2)/(2*(alpha.y*C$60)^0.5))</f>
        <v>2</v>
      </c>
      <c r="D63" s="745">
        <f t="shared" si="8"/>
        <v>1.9999999999946865</v>
      </c>
      <c r="E63" s="745">
        <f t="shared" si="8"/>
        <v>1.9999989221806231</v>
      </c>
      <c r="F63" s="745">
        <f t="shared" si="8"/>
        <v>1.9999316473723983</v>
      </c>
      <c r="G63" s="745">
        <f t="shared" si="8"/>
        <v>1.9994362246646789</v>
      </c>
      <c r="H63" s="745">
        <f t="shared" si="8"/>
        <v>1.9979603953989487</v>
      </c>
      <c r="I63" s="745">
        <f t="shared" si="8"/>
        <v>1.9951323237702072</v>
      </c>
      <c r="J63" s="745">
        <f t="shared" si="8"/>
        <v>1.9908606210552562</v>
      </c>
      <c r="K63" s="745">
        <f t="shared" si="8"/>
        <v>1.9852487877137779</v>
      </c>
      <c r="L63" s="745">
        <f t="shared" si="8"/>
        <v>1.9784928362458911</v>
      </c>
      <c r="M63" s="745">
        <f t="shared" si="8"/>
        <v>1.9708132294077558</v>
      </c>
    </row>
    <row r="64" ht="12.75">
      <c r="B64" s="759"/>
    </row>
    <row r="65" spans="3:13" ht="12.75">
      <c r="C65" s="758">
        <f>C60</f>
        <v>0.0001</v>
      </c>
      <c r="D65" s="758">
        <f>D60</f>
        <v>50</v>
      </c>
      <c r="E65" s="758">
        <f>2*delx</f>
        <v>100</v>
      </c>
      <c r="F65" s="758">
        <f aca="true" t="shared" si="9" ref="F65:M65">F60</f>
        <v>150</v>
      </c>
      <c r="G65" s="758">
        <f t="shared" si="9"/>
        <v>200</v>
      </c>
      <c r="H65" s="758">
        <f t="shared" si="9"/>
        <v>250</v>
      </c>
      <c r="I65" s="758">
        <f t="shared" si="9"/>
        <v>300</v>
      </c>
      <c r="J65" s="758">
        <f t="shared" si="9"/>
        <v>350</v>
      </c>
      <c r="K65" s="758">
        <f t="shared" si="9"/>
        <v>400</v>
      </c>
      <c r="L65" s="758">
        <f t="shared" si="9"/>
        <v>450</v>
      </c>
      <c r="M65" s="758">
        <f t="shared" si="9"/>
        <v>500</v>
      </c>
    </row>
    <row r="66" spans="1:13" ht="12.75">
      <c r="A66" s="525" t="s">
        <v>169</v>
      </c>
      <c r="B66" s="758">
        <f>B61</f>
        <v>0</v>
      </c>
      <c r="C66" s="745">
        <f>IF(C61&lt;&gt;0,C.1*EXP(-ksource*MAX(0,(t_simulation-C$58))),0)</f>
        <v>33.760601549633066</v>
      </c>
      <c r="D66" s="745">
        <f aca="true" t="shared" si="10" ref="D66:M66">C.1*EXP(-ksource*MAX(0,(t_simulation-D$58)))/8*D$52*D$54*D$56*D61</f>
        <v>36.056141359126705</v>
      </c>
      <c r="E66" s="745">
        <f t="shared" si="10"/>
        <v>38.505324096513036</v>
      </c>
      <c r="F66" s="745">
        <f t="shared" si="10"/>
        <v>41.1091220577449</v>
      </c>
      <c r="G66" s="745">
        <f t="shared" si="10"/>
        <v>43.8436740729383</v>
      </c>
      <c r="H66" s="745">
        <f t="shared" si="10"/>
        <v>46.61386379953439</v>
      </c>
      <c r="I66" s="745">
        <f t="shared" si="10"/>
        <v>49.16549345367547</v>
      </c>
      <c r="J66" s="745">
        <f t="shared" si="10"/>
        <v>50.9773966311209</v>
      </c>
      <c r="K66" s="745">
        <f t="shared" si="10"/>
        <v>51.230166518244516</v>
      </c>
      <c r="L66" s="745">
        <f t="shared" si="10"/>
        <v>48.99952404988739</v>
      </c>
      <c r="M66" s="745">
        <f t="shared" si="10"/>
        <v>43.7216770762598</v>
      </c>
    </row>
    <row r="67" spans="2:13" ht="12.75">
      <c r="B67" s="758">
        <f>B62</f>
        <v>22.5</v>
      </c>
      <c r="C67" s="745">
        <f>IF(C62&lt;&gt;0,C.1*EXP(-ksource*MAX(0,(t_simulation-C$58))),0)</f>
        <v>33.760601549633066</v>
      </c>
      <c r="D67" s="745">
        <f aca="true" t="shared" si="11" ref="D67:M67">C.1*EXP(-ksource*MAX(0,(t_simulation-D$58)))/8*D$52*D$54*D$56*D62</f>
        <v>36.056141359126705</v>
      </c>
      <c r="E67" s="745">
        <f t="shared" si="11"/>
        <v>38.505324088534984</v>
      </c>
      <c r="F67" s="745">
        <f t="shared" si="11"/>
        <v>41.109115165215094</v>
      </c>
      <c r="G67" s="745">
        <f t="shared" si="11"/>
        <v>43.84345915971818</v>
      </c>
      <c r="H67" s="745">
        <f t="shared" si="11"/>
        <v>46.61212350554112</v>
      </c>
      <c r="I67" s="745">
        <f t="shared" si="11"/>
        <v>49.15842370652014</v>
      </c>
      <c r="J67" s="745">
        <f t="shared" si="11"/>
        <v>50.95836407687123</v>
      </c>
      <c r="K67" s="745">
        <f t="shared" si="11"/>
        <v>51.19143946654773</v>
      </c>
      <c r="L67" s="745">
        <f t="shared" si="11"/>
        <v>48.93604388745166</v>
      </c>
      <c r="M67" s="745">
        <f t="shared" si="11"/>
        <v>43.635321555163756</v>
      </c>
    </row>
    <row r="68" spans="2:13" ht="12.75">
      <c r="B68" s="758">
        <f>B63</f>
        <v>45</v>
      </c>
      <c r="C68" s="745">
        <f>IF(C63&lt;&gt;0,C.1*EXP(-ksource*MAX(0,(t_simulation-C$58))),0)</f>
        <v>33.760601549633066</v>
      </c>
      <c r="D68" s="745">
        <f aca="true" t="shared" si="12" ref="D68:M68">C.1*EXP(-ksource*MAX(0,(t_simulation-D$58)))/8*D$52*D$54*D$56*D63</f>
        <v>36.05614135903091</v>
      </c>
      <c r="E68" s="745">
        <f t="shared" si="12"/>
        <v>38.5053033456218</v>
      </c>
      <c r="F68" s="745">
        <f t="shared" si="12"/>
        <v>41.10771711969385</v>
      </c>
      <c r="G68" s="745">
        <f t="shared" si="12"/>
        <v>43.83131820069322</v>
      </c>
      <c r="H68" s="745">
        <f t="shared" si="12"/>
        <v>46.566393931546806</v>
      </c>
      <c r="I68" s="745">
        <f t="shared" si="12"/>
        <v>49.04636482391924</v>
      </c>
      <c r="J68" s="745">
        <f t="shared" si="12"/>
        <v>50.74679977089393</v>
      </c>
      <c r="K68" s="745">
        <f t="shared" si="12"/>
        <v>50.85937916989669</v>
      </c>
      <c r="L68" s="745">
        <f t="shared" si="12"/>
        <v>48.488505710815275</v>
      </c>
      <c r="M68" s="745">
        <f t="shared" si="12"/>
        <v>43.11186150071203</v>
      </c>
    </row>
    <row r="69" ht="12.75">
      <c r="B69" s="746"/>
    </row>
    <row r="70" spans="2:13" ht="12.75">
      <c r="B70" s="746"/>
      <c r="C70" s="758">
        <v>0.0001</v>
      </c>
      <c r="D70" s="758">
        <f>delx</f>
        <v>50</v>
      </c>
      <c r="E70" s="758">
        <f>2*delx</f>
        <v>100</v>
      </c>
      <c r="F70" s="758">
        <f>3*delx</f>
        <v>150</v>
      </c>
      <c r="G70" s="758">
        <f>4*delx</f>
        <v>200</v>
      </c>
      <c r="H70" s="758">
        <f>5*delx</f>
        <v>250</v>
      </c>
      <c r="I70" s="758">
        <f>6*delx</f>
        <v>300</v>
      </c>
      <c r="J70" s="758">
        <f>7*delx</f>
        <v>350</v>
      </c>
      <c r="K70" s="758">
        <f>8*delx</f>
        <v>400</v>
      </c>
      <c r="L70" s="758">
        <f>9*delx</f>
        <v>450</v>
      </c>
      <c r="M70" s="758">
        <f>10*delx</f>
        <v>500</v>
      </c>
    </row>
    <row r="71" spans="1:13" ht="12.75">
      <c r="A71" s="525" t="s">
        <v>51</v>
      </c>
      <c r="B71" s="758">
        <v>0</v>
      </c>
      <c r="C71" s="745">
        <f aca="true" t="shared" si="13" ref="C71:D73">gerf(($B71+Y.2/2)/(2*(alpha.y*C$60)^0.5))-gerf(($B71-Y.2/2)/(2*(alpha.y*C$60)^0.5))</f>
        <v>2</v>
      </c>
      <c r="D71" s="745">
        <f t="shared" si="13"/>
        <v>1.999999999798576</v>
      </c>
      <c r="E71" s="745">
        <f aca="true" t="shared" si="14" ref="E71:M73">gerf(($B71+Y.2/2)/(2*(alpha.y*E$60)^0.5))-gerf(($B71-Y.2/2)/(2*(alpha.y*E$60)^0.5))</f>
        <v>1.999990341245104</v>
      </c>
      <c r="F71" s="745">
        <f t="shared" si="14"/>
        <v>1.999621689925006</v>
      </c>
      <c r="G71" s="745">
        <f t="shared" si="14"/>
        <v>1.9975495270320565</v>
      </c>
      <c r="H71" s="745">
        <f t="shared" si="14"/>
        <v>1.99233498862803</v>
      </c>
      <c r="I71" s="745">
        <f t="shared" si="14"/>
        <v>1.9834033179383455</v>
      </c>
      <c r="J71" s="745">
        <f t="shared" si="14"/>
        <v>1.970938865561239</v>
      </c>
      <c r="K71" s="745">
        <f t="shared" si="14"/>
        <v>1.9554953738772025</v>
      </c>
      <c r="L71" s="745">
        <f t="shared" si="14"/>
        <v>1.9377221469604133</v>
      </c>
      <c r="M71" s="745">
        <f t="shared" si="14"/>
        <v>1.9182292016049236</v>
      </c>
    </row>
    <row r="72" spans="2:13" ht="12.75">
      <c r="B72" s="758">
        <f>dely</f>
        <v>22.5</v>
      </c>
      <c r="C72" s="745">
        <f t="shared" si="13"/>
        <v>2</v>
      </c>
      <c r="D72" s="745">
        <f t="shared" si="13"/>
        <v>1.9999939922063794</v>
      </c>
      <c r="E72" s="745">
        <f t="shared" si="14"/>
        <v>1.9986278487926912</v>
      </c>
      <c r="F72" s="745">
        <f t="shared" si="14"/>
        <v>1.9910276878321682</v>
      </c>
      <c r="G72" s="745">
        <f t="shared" si="14"/>
        <v>1.9763414920147726</v>
      </c>
      <c r="H72" s="745">
        <f t="shared" si="14"/>
        <v>1.9568737516541477</v>
      </c>
      <c r="I72" s="745">
        <f t="shared" si="14"/>
        <v>1.9347655785366404</v>
      </c>
      <c r="J72" s="745">
        <f t="shared" si="14"/>
        <v>1.9113775617522575</v>
      </c>
      <c r="K72" s="745">
        <f t="shared" si="14"/>
        <v>1.8874907589532202</v>
      </c>
      <c r="L72" s="745">
        <f t="shared" si="14"/>
        <v>1.8635452334393434</v>
      </c>
      <c r="M72" s="745">
        <f t="shared" si="14"/>
        <v>1.8397926081207037</v>
      </c>
    </row>
    <row r="73" spans="2:13" ht="12.75">
      <c r="B73" s="758">
        <f>2*dely</f>
        <v>45</v>
      </c>
      <c r="C73" s="745">
        <f t="shared" si="13"/>
        <v>2</v>
      </c>
      <c r="D73" s="745">
        <f t="shared" si="13"/>
        <v>1.9903002005154735</v>
      </c>
      <c r="E73" s="745">
        <f t="shared" si="14"/>
        <v>1.9325744128307942</v>
      </c>
      <c r="F73" s="745">
        <f t="shared" si="14"/>
        <v>1.8646231741134986</v>
      </c>
      <c r="G73" s="745">
        <f t="shared" si="14"/>
        <v>1.804049451424361</v>
      </c>
      <c r="H73" s="745">
        <f t="shared" si="14"/>
        <v>1.752581488406892</v>
      </c>
      <c r="I73" s="745">
        <f t="shared" si="14"/>
        <v>1.7089499239511832</v>
      </c>
      <c r="J73" s="745">
        <f t="shared" si="14"/>
        <v>1.6716102966534376</v>
      </c>
      <c r="K73" s="745">
        <f t="shared" si="14"/>
        <v>1.6392457363380797</v>
      </c>
      <c r="L73" s="745">
        <f t="shared" si="14"/>
        <v>1.6108131520231466</v>
      </c>
      <c r="M73" s="745">
        <f t="shared" si="14"/>
        <v>1.5855023058199182</v>
      </c>
    </row>
    <row r="74" spans="2:13" ht="12.75">
      <c r="B74" s="758"/>
      <c r="C74" s="525"/>
      <c r="D74" s="525"/>
      <c r="E74" s="525"/>
      <c r="F74" s="525"/>
      <c r="G74" s="525"/>
      <c r="H74" s="525"/>
      <c r="I74" s="525"/>
      <c r="J74" s="525"/>
      <c r="K74" s="525"/>
      <c r="L74" s="525"/>
      <c r="M74" s="525"/>
    </row>
    <row r="75" spans="2:13" ht="12.75">
      <c r="B75" s="746"/>
      <c r="C75" s="758">
        <f>C70</f>
        <v>0.0001</v>
      </c>
      <c r="D75" s="758">
        <f>D70</f>
        <v>50</v>
      </c>
      <c r="E75" s="758">
        <f>2*delx</f>
        <v>100</v>
      </c>
      <c r="F75" s="758">
        <f aca="true" t="shared" si="15" ref="F75:M75">F70</f>
        <v>150</v>
      </c>
      <c r="G75" s="758">
        <f t="shared" si="15"/>
        <v>200</v>
      </c>
      <c r="H75" s="758">
        <f t="shared" si="15"/>
        <v>250</v>
      </c>
      <c r="I75" s="758">
        <f t="shared" si="15"/>
        <v>300</v>
      </c>
      <c r="J75" s="758">
        <f t="shared" si="15"/>
        <v>350</v>
      </c>
      <c r="K75" s="758">
        <f t="shared" si="15"/>
        <v>400</v>
      </c>
      <c r="L75" s="758">
        <f t="shared" si="15"/>
        <v>450</v>
      </c>
      <c r="M75" s="758">
        <f t="shared" si="15"/>
        <v>500</v>
      </c>
    </row>
    <row r="76" spans="1:13" ht="12.75">
      <c r="A76" s="525" t="s">
        <v>170</v>
      </c>
      <c r="B76" s="758">
        <f>B71</f>
        <v>0</v>
      </c>
      <c r="C76" s="745">
        <f>IF(C71&lt;&gt;0,C.2*EXP(-ksource*MAX(0,(t_simulation-C$58))),0)</f>
        <v>2136.5637837839213</v>
      </c>
      <c r="D76" s="745">
        <f aca="true" t="shared" si="16" ref="D76:M76">C.2*EXP(-ksource*MAX(0,(t_simulation-D$58)))/8*D$52*D$54*D$56*D71</f>
        <v>2281.83866006921</v>
      </c>
      <c r="E76" s="745">
        <f t="shared" si="16"/>
        <v>2436.8251708454563</v>
      </c>
      <c r="F76" s="745">
        <f t="shared" si="16"/>
        <v>2601.1280448038456</v>
      </c>
      <c r="G76" s="745">
        <f t="shared" si="16"/>
        <v>2771.278790804558</v>
      </c>
      <c r="H76" s="745">
        <f t="shared" si="16"/>
        <v>2938.6900381726823</v>
      </c>
      <c r="I76" s="745">
        <f t="shared" si="16"/>
        <v>3085.6867883294367</v>
      </c>
      <c r="J76" s="745">
        <f t="shared" si="16"/>
        <v>3179.410784798059</v>
      </c>
      <c r="K76" s="745">
        <f t="shared" si="16"/>
        <v>3170.433104701559</v>
      </c>
      <c r="L76" s="745">
        <f t="shared" si="16"/>
        <v>3005.3946405735837</v>
      </c>
      <c r="M76" s="745">
        <f t="shared" si="16"/>
        <v>2655.568391875145</v>
      </c>
    </row>
    <row r="77" spans="2:13" ht="12.75">
      <c r="B77" s="758">
        <f>B72</f>
        <v>22.5</v>
      </c>
      <c r="C77" s="745">
        <f>IF(C72&lt;&gt;0,C.2*EXP(-ksource*MAX(0,(t_simulation-C$58))),0)</f>
        <v>2136.5637837839213</v>
      </c>
      <c r="D77" s="745">
        <f aca="true" t="shared" si="17" ref="D77:M77">C.2*EXP(-ksource*MAX(0,(t_simulation-D$58)))/8*D$52*D$54*D$56*D72</f>
        <v>2281.8318058911455</v>
      </c>
      <c r="E77" s="745">
        <f t="shared" si="17"/>
        <v>2435.1650848767113</v>
      </c>
      <c r="F77" s="745">
        <f t="shared" si="17"/>
        <v>2589.948880278169</v>
      </c>
      <c r="G77" s="745">
        <f t="shared" si="17"/>
        <v>2741.856052172708</v>
      </c>
      <c r="H77" s="745">
        <f t="shared" si="17"/>
        <v>2886.38478607841</v>
      </c>
      <c r="I77" s="745">
        <f t="shared" si="17"/>
        <v>3010.018451724024</v>
      </c>
      <c r="J77" s="745">
        <f t="shared" si="17"/>
        <v>3083.329746976023</v>
      </c>
      <c r="K77" s="745">
        <f t="shared" si="17"/>
        <v>3060.177624014845</v>
      </c>
      <c r="L77" s="745">
        <f t="shared" si="17"/>
        <v>2890.3467227386086</v>
      </c>
      <c r="M77" s="745">
        <f t="shared" si="17"/>
        <v>2546.9819214738077</v>
      </c>
    </row>
    <row r="78" spans="2:13" ht="12.75">
      <c r="B78" s="758">
        <f>B73</f>
        <v>45</v>
      </c>
      <c r="C78" s="745">
        <f>IF(C73&lt;&gt;0,C.2*EXP(-ksource*MAX(0,(t_simulation-C$58))),0)</f>
        <v>2136.5637837839213</v>
      </c>
      <c r="D78" s="745">
        <f aca="true" t="shared" si="18" ref="D78:M78">C.2*EXP(-ksource*MAX(0,(t_simulation-D$58)))/8*D$52*D$54*D$56*D73</f>
        <v>2270.771971568548</v>
      </c>
      <c r="E78" s="745">
        <f t="shared" si="18"/>
        <v>2354.684358518517</v>
      </c>
      <c r="F78" s="745">
        <f t="shared" si="18"/>
        <v>2425.5206150317786</v>
      </c>
      <c r="G78" s="745">
        <f t="shared" si="18"/>
        <v>2502.8285479975975</v>
      </c>
      <c r="H78" s="745">
        <f t="shared" si="18"/>
        <v>2585.0541151284015</v>
      </c>
      <c r="I78" s="745">
        <f t="shared" si="18"/>
        <v>2658.7049414307185</v>
      </c>
      <c r="J78" s="745">
        <f t="shared" si="18"/>
        <v>2696.5503080918816</v>
      </c>
      <c r="K78" s="745">
        <f t="shared" si="18"/>
        <v>2657.699434452096</v>
      </c>
      <c r="L78" s="745">
        <f t="shared" si="18"/>
        <v>2498.360882983038</v>
      </c>
      <c r="M78" s="745">
        <f t="shared" si="18"/>
        <v>2194.946154014241</v>
      </c>
    </row>
    <row r="79" ht="12.75">
      <c r="B79" s="746"/>
    </row>
    <row r="80" spans="2:13" ht="12.75">
      <c r="B80" s="746"/>
      <c r="C80" s="758">
        <v>0.0001</v>
      </c>
      <c r="D80" s="758">
        <f>delx</f>
        <v>50</v>
      </c>
      <c r="E80" s="758">
        <f>2*delx</f>
        <v>100</v>
      </c>
      <c r="F80" s="758">
        <f>3*delx</f>
        <v>150</v>
      </c>
      <c r="G80" s="758">
        <f>4*delx</f>
        <v>200</v>
      </c>
      <c r="H80" s="758">
        <f>5*delx</f>
        <v>250</v>
      </c>
      <c r="I80" s="758">
        <f>6*delx</f>
        <v>300</v>
      </c>
      <c r="J80" s="758">
        <f>7*delx</f>
        <v>350</v>
      </c>
      <c r="K80" s="758">
        <f>8*delx</f>
        <v>400</v>
      </c>
      <c r="L80" s="758">
        <f>9*delx</f>
        <v>450</v>
      </c>
      <c r="M80" s="758">
        <f>10*delx</f>
        <v>500</v>
      </c>
    </row>
    <row r="81" spans="1:13" ht="12.75">
      <c r="A81" s="525" t="s">
        <v>57</v>
      </c>
      <c r="B81" s="758">
        <v>0</v>
      </c>
      <c r="C81" s="745">
        <f>gerf(($B81+Y.3/2)/(2*(alpha.y*C$60)^0.5))-gerf(($B81-Y.3/2)/(2*(alpha.y*C$60)^0.5))</f>
        <v>2</v>
      </c>
      <c r="D81" s="745">
        <f aca="true" t="shared" si="19" ref="D81:M83">gerf(($B81+Y.3/2)/(2*(alpha.y*D$60)^0.5))-gerf(($B81-Y.3/2)/(2*(alpha.y*D$60)^0.5))</f>
        <v>1.9999674354391987</v>
      </c>
      <c r="E81" s="745">
        <f t="shared" si="19"/>
        <v>1.99539328043057</v>
      </c>
      <c r="F81" s="745">
        <f t="shared" si="19"/>
        <v>1.9743590611088813</v>
      </c>
      <c r="G81" s="745">
        <f t="shared" si="19"/>
        <v>1.9377221469604133</v>
      </c>
      <c r="H81" s="745">
        <f t="shared" si="19"/>
        <v>1.8922281667295069</v>
      </c>
      <c r="I81" s="745">
        <f t="shared" si="19"/>
        <v>1.8431128978372728</v>
      </c>
      <c r="J81" s="745">
        <f t="shared" si="19"/>
        <v>1.7934790350990695</v>
      </c>
      <c r="K81" s="745">
        <f t="shared" si="19"/>
        <v>1.7449936424927674</v>
      </c>
      <c r="L81" s="745">
        <f t="shared" si="19"/>
        <v>1.6984854948744323</v>
      </c>
      <c r="M81" s="745">
        <f t="shared" si="19"/>
        <v>1.654314912399414</v>
      </c>
    </row>
    <row r="82" spans="2:13" ht="12.75">
      <c r="B82" s="758">
        <f>dely</f>
        <v>22.5</v>
      </c>
      <c r="C82" s="745">
        <f>gerf(($B82+Y.3/2)/(2*(alpha.y*C$60)^0.5))-gerf(($B82-Y.3/2)/(2*(alpha.y*C$60)^0.5))</f>
        <v>2</v>
      </c>
      <c r="D82" s="745">
        <f t="shared" si="19"/>
        <v>1.9822514280034722</v>
      </c>
      <c r="E82" s="745">
        <f t="shared" si="19"/>
        <v>1.9063350181930712</v>
      </c>
      <c r="F82" s="745">
        <f t="shared" si="19"/>
        <v>1.8286287481769832</v>
      </c>
      <c r="G82" s="745">
        <f t="shared" si="19"/>
        <v>1.7623680176021743</v>
      </c>
      <c r="H82" s="745">
        <f t="shared" si="19"/>
        <v>1.7057893060166256</v>
      </c>
      <c r="I82" s="745">
        <f t="shared" si="19"/>
        <v>1.6561776587809591</v>
      </c>
      <c r="J82" s="745">
        <f t="shared" si="19"/>
        <v>1.6116368839095772</v>
      </c>
      <c r="K82" s="745">
        <f t="shared" si="19"/>
        <v>1.5709716444297506</v>
      </c>
      <c r="L82" s="745">
        <f t="shared" si="19"/>
        <v>1.5334220110781174</v>
      </c>
      <c r="M82" s="745">
        <f t="shared" si="19"/>
        <v>1.4984821896525538</v>
      </c>
    </row>
    <row r="83" spans="2:13" ht="12.75">
      <c r="B83" s="758">
        <f>2*dely</f>
        <v>45</v>
      </c>
      <c r="C83" s="745">
        <f>gerf(($B83+Y.3/2)/(2*(alpha.y*C$60)^0.5))-gerf(($B83-Y.3/2)/(2*(alpha.y*C$60)^0.5))</f>
        <v>2</v>
      </c>
      <c r="D83" s="745">
        <f t="shared" si="19"/>
        <v>1.3335742347028885</v>
      </c>
      <c r="E83" s="745">
        <f t="shared" si="19"/>
        <v>1.2394848624344446</v>
      </c>
      <c r="F83" s="745">
        <f t="shared" si="19"/>
        <v>1.1965377345862964</v>
      </c>
      <c r="G83" s="745">
        <f t="shared" si="19"/>
        <v>1.1706030741354634</v>
      </c>
      <c r="H83" s="745">
        <f t="shared" si="19"/>
        <v>1.1526154445091936</v>
      </c>
      <c r="I83" s="745">
        <f t="shared" si="19"/>
        <v>1.1388624907357738</v>
      </c>
      <c r="J83" s="745">
        <f t="shared" si="19"/>
        <v>1.127458026943069</v>
      </c>
      <c r="K83" s="745">
        <f t="shared" si="19"/>
        <v>1.1173464555428267</v>
      </c>
      <c r="L83" s="745">
        <f t="shared" si="19"/>
        <v>1.1079190194711641</v>
      </c>
      <c r="M83" s="745">
        <f t="shared" si="19"/>
        <v>1.0988266839795928</v>
      </c>
    </row>
    <row r="85" spans="1:13" ht="12.75">
      <c r="A85" s="745"/>
      <c r="B85" s="746"/>
      <c r="C85" s="758">
        <f>C80</f>
        <v>0.0001</v>
      </c>
      <c r="D85" s="758">
        <f>D80</f>
        <v>50</v>
      </c>
      <c r="E85" s="758">
        <f>2*delx</f>
        <v>100</v>
      </c>
      <c r="F85" s="758">
        <f aca="true" t="shared" si="20" ref="F85:M85">F80</f>
        <v>150</v>
      </c>
      <c r="G85" s="758">
        <f t="shared" si="20"/>
        <v>200</v>
      </c>
      <c r="H85" s="758">
        <f t="shared" si="20"/>
        <v>250</v>
      </c>
      <c r="I85" s="758">
        <f t="shared" si="20"/>
        <v>300</v>
      </c>
      <c r="J85" s="758">
        <f t="shared" si="20"/>
        <v>350</v>
      </c>
      <c r="K85" s="758">
        <f t="shared" si="20"/>
        <v>400</v>
      </c>
      <c r="L85" s="758">
        <f t="shared" si="20"/>
        <v>450</v>
      </c>
      <c r="M85" s="758">
        <f t="shared" si="20"/>
        <v>500</v>
      </c>
    </row>
    <row r="86" spans="1:16" ht="12.75">
      <c r="A86" s="525" t="s">
        <v>171</v>
      </c>
      <c r="B86" s="758">
        <f>B81</f>
        <v>0</v>
      </c>
      <c r="C86" s="745">
        <f>IF(C81&lt;&gt;0,C.3*EXP(-ksource*MAX(0,(t_simulation-C$58))),)</f>
        <v>2170.3243853335543</v>
      </c>
      <c r="D86" s="745">
        <f aca="true" t="shared" si="21" ref="D86:M86">C.3*EXP(-ksource*MAX(0,(t_simulation-D$58)))/8*D$52*D$54*D$56*D81</f>
        <v>2317.8570610450456</v>
      </c>
      <c r="E86" s="745">
        <f t="shared" si="21"/>
        <v>2469.64065952453</v>
      </c>
      <c r="F86" s="745">
        <f t="shared" si="21"/>
        <v>2608.848246498167</v>
      </c>
      <c r="G86" s="745">
        <f t="shared" si="21"/>
        <v>2730.756352509053</v>
      </c>
      <c r="H86" s="745">
        <f t="shared" si="21"/>
        <v>2835.1347769058375</v>
      </c>
      <c r="I86" s="745">
        <f t="shared" si="21"/>
        <v>2912.7387359506515</v>
      </c>
      <c r="J86" s="745">
        <f t="shared" si="21"/>
        <v>2938.857858485349</v>
      </c>
      <c r="K86" s="745">
        <f t="shared" si="21"/>
        <v>2873.8522588511664</v>
      </c>
      <c r="L86" s="745">
        <f t="shared" si="21"/>
        <v>2675.966267217626</v>
      </c>
      <c r="M86" s="745">
        <f t="shared" si="21"/>
        <v>2326.3977270881883</v>
      </c>
      <c r="P86" s="760"/>
    </row>
    <row r="87" spans="2:16" ht="12.75">
      <c r="B87" s="758">
        <f>B82</f>
        <v>22.5</v>
      </c>
      <c r="C87" s="745">
        <f>IF(C82&lt;&gt;0,C.3*EXP(-ksource*MAX(0,(t_simulation-C$58))),)</f>
        <v>2170.3243853335543</v>
      </c>
      <c r="D87" s="745">
        <f aca="true" t="shared" si="22" ref="D87:M87">C.3*EXP(-ksource*MAX(0,(t_simulation-D$58)))/8*D$52*D$54*D$56*D82</f>
        <v>2297.3251402743417</v>
      </c>
      <c r="E87" s="745">
        <f t="shared" si="22"/>
        <v>2359.4158193161543</v>
      </c>
      <c r="F87" s="745">
        <f t="shared" si="22"/>
        <v>2416.285364273248</v>
      </c>
      <c r="G87" s="745">
        <f t="shared" si="22"/>
        <v>2483.6366075885303</v>
      </c>
      <c r="H87" s="745">
        <f t="shared" si="22"/>
        <v>2555.792514134546</v>
      </c>
      <c r="I87" s="745">
        <f t="shared" si="22"/>
        <v>2617.3181393325963</v>
      </c>
      <c r="J87" s="745">
        <f t="shared" si="22"/>
        <v>2640.884910617798</v>
      </c>
      <c r="K87" s="745">
        <f t="shared" si="22"/>
        <v>2587.2532134192475</v>
      </c>
      <c r="L87" s="745">
        <f t="shared" si="22"/>
        <v>2415.90851816925</v>
      </c>
      <c r="M87" s="745">
        <f t="shared" si="22"/>
        <v>2107.2563234249346</v>
      </c>
      <c r="P87" s="761"/>
    </row>
    <row r="88" spans="2:13" ht="12.75">
      <c r="B88" s="758">
        <f>B83</f>
        <v>45</v>
      </c>
      <c r="C88" s="745">
        <f>IF(C83&lt;&gt;0,C.3*EXP(-ksource*MAX(0,(t_simulation-C$58))),)</f>
        <v>2170.3243853335543</v>
      </c>
      <c r="D88" s="745">
        <f aca="true" t="shared" si="23" ref="D88:M88">C.3*EXP(-ksource*MAX(0,(t_simulation-D$58)))/8*D$52*D$54*D$56*D83</f>
        <v>1545.5423931215323</v>
      </c>
      <c r="E88" s="745">
        <f t="shared" si="23"/>
        <v>1534.0746323816154</v>
      </c>
      <c r="F88" s="745">
        <f t="shared" si="23"/>
        <v>1581.062650777989</v>
      </c>
      <c r="G88" s="745">
        <f t="shared" si="23"/>
        <v>1649.685320455466</v>
      </c>
      <c r="H88" s="745">
        <f t="shared" si="23"/>
        <v>1726.9693943806135</v>
      </c>
      <c r="I88" s="745">
        <f t="shared" si="23"/>
        <v>1799.7860552002944</v>
      </c>
      <c r="J88" s="745">
        <f t="shared" si="23"/>
        <v>1847.4923975963816</v>
      </c>
      <c r="K88" s="745">
        <f t="shared" si="23"/>
        <v>1840.1721112255607</v>
      </c>
      <c r="L88" s="745">
        <f t="shared" si="23"/>
        <v>1745.5279611515584</v>
      </c>
      <c r="M88" s="745">
        <f t="shared" si="23"/>
        <v>1545.2365694789714</v>
      </c>
    </row>
    <row r="89" ht="12.75">
      <c r="B89" s="746"/>
    </row>
    <row r="90" spans="2:16" s="759" customFormat="1" ht="12.75">
      <c r="B90" s="758"/>
      <c r="C90" s="758">
        <f>C80</f>
        <v>0.0001</v>
      </c>
      <c r="D90" s="758">
        <f>D80</f>
        <v>50</v>
      </c>
      <c r="E90" s="758">
        <f>2*delx</f>
        <v>100</v>
      </c>
      <c r="F90" s="758">
        <f aca="true" t="shared" si="24" ref="F90:M90">F80</f>
        <v>150</v>
      </c>
      <c r="G90" s="758">
        <f t="shared" si="24"/>
        <v>200</v>
      </c>
      <c r="H90" s="758">
        <f t="shared" si="24"/>
        <v>250</v>
      </c>
      <c r="I90" s="758">
        <f t="shared" si="24"/>
        <v>300</v>
      </c>
      <c r="J90" s="758">
        <f t="shared" si="24"/>
        <v>350</v>
      </c>
      <c r="K90" s="758">
        <f t="shared" si="24"/>
        <v>400</v>
      </c>
      <c r="L90" s="758">
        <f t="shared" si="24"/>
        <v>450</v>
      </c>
      <c r="M90" s="758">
        <f t="shared" si="24"/>
        <v>500</v>
      </c>
      <c r="P90" s="759" t="s">
        <v>172</v>
      </c>
    </row>
    <row r="91" spans="1:16" ht="12.75">
      <c r="A91" s="525" t="s">
        <v>173</v>
      </c>
      <c r="B91" s="758">
        <f>B88</f>
        <v>45</v>
      </c>
      <c r="C91" s="760">
        <f aca="true" t="shared" si="25" ref="C91:M91">C95</f>
        <v>4340.648770667109</v>
      </c>
      <c r="D91" s="760">
        <f t="shared" si="25"/>
        <v>3852.370506049111</v>
      </c>
      <c r="E91" s="760">
        <f t="shared" si="25"/>
        <v>3927.264294245754</v>
      </c>
      <c r="F91" s="760">
        <f t="shared" si="25"/>
        <v>4047.6909829294614</v>
      </c>
      <c r="G91" s="760">
        <f t="shared" si="25"/>
        <v>4196.345186653756</v>
      </c>
      <c r="H91" s="760">
        <f t="shared" si="25"/>
        <v>4358.589903440562</v>
      </c>
      <c r="I91" s="760">
        <f t="shared" si="25"/>
        <v>4507.537361454932</v>
      </c>
      <c r="J91" s="760">
        <f t="shared" si="25"/>
        <v>4594.789505459157</v>
      </c>
      <c r="K91" s="760">
        <f t="shared" si="25"/>
        <v>4548.730924847553</v>
      </c>
      <c r="L91" s="760">
        <f t="shared" si="25"/>
        <v>4292.377349845412</v>
      </c>
      <c r="M91" s="760">
        <f t="shared" si="25"/>
        <v>3783.2945849939247</v>
      </c>
      <c r="P91" s="754">
        <f>IF(Total_Mass="Infinite",Flux*t_simulation,Total_Mass-Total_Mass*EXP(-ksource*t_simulation))</f>
        <v>77.65586334286627</v>
      </c>
    </row>
    <row r="92" spans="1:18" ht="12.75">
      <c r="A92" s="525" t="s">
        <v>122</v>
      </c>
      <c r="B92" s="758">
        <f>B87</f>
        <v>22.5</v>
      </c>
      <c r="C92" s="760">
        <f aca="true" t="shared" si="26" ref="C92:M92">C94</f>
        <v>4340.648770667109</v>
      </c>
      <c r="D92" s="760">
        <f t="shared" si="26"/>
        <v>4615.213087524614</v>
      </c>
      <c r="E92" s="760">
        <f t="shared" si="26"/>
        <v>4833.0862282814005</v>
      </c>
      <c r="F92" s="760">
        <f t="shared" si="26"/>
        <v>5047.343359716631</v>
      </c>
      <c r="G92" s="760">
        <f t="shared" si="26"/>
        <v>5269.336118920957</v>
      </c>
      <c r="H92" s="760">
        <f t="shared" si="26"/>
        <v>5488.789423718497</v>
      </c>
      <c r="I92" s="760">
        <f t="shared" si="26"/>
        <v>5676.495014763141</v>
      </c>
      <c r="J92" s="760">
        <f t="shared" si="26"/>
        <v>5775.173021670693</v>
      </c>
      <c r="K92" s="760">
        <f t="shared" si="26"/>
        <v>5698.62227690064</v>
      </c>
      <c r="L92" s="760">
        <f t="shared" si="26"/>
        <v>5355.19128479531</v>
      </c>
      <c r="M92" s="760">
        <f t="shared" si="26"/>
        <v>4697.873566453906</v>
      </c>
      <c r="R92" s="525" t="s">
        <v>612</v>
      </c>
    </row>
    <row r="93" spans="2:16" ht="12.75">
      <c r="B93" s="758">
        <f>B86</f>
        <v>0</v>
      </c>
      <c r="C93" s="760">
        <f aca="true" t="shared" si="27" ref="C93:I95">C66+C76+C86</f>
        <v>4340.648770667109</v>
      </c>
      <c r="D93" s="760">
        <f t="shared" si="27"/>
        <v>4635.751862473382</v>
      </c>
      <c r="E93" s="760">
        <f t="shared" si="27"/>
        <v>4944.971154466499</v>
      </c>
      <c r="F93" s="760">
        <f t="shared" si="27"/>
        <v>5251.085413359758</v>
      </c>
      <c r="G93" s="760">
        <f t="shared" si="27"/>
        <v>5545.87881738655</v>
      </c>
      <c r="H93" s="760">
        <f t="shared" si="27"/>
        <v>5820.438678878054</v>
      </c>
      <c r="I93" s="760">
        <f t="shared" si="27"/>
        <v>6047.591017733764</v>
      </c>
      <c r="J93" s="760">
        <f aca="true" t="shared" si="28" ref="J93:M95">J66+J76+J86</f>
        <v>6169.246039914529</v>
      </c>
      <c r="K93" s="760">
        <f t="shared" si="28"/>
        <v>6095.51553007097</v>
      </c>
      <c r="L93" s="760">
        <f t="shared" si="28"/>
        <v>5730.360431841097</v>
      </c>
      <c r="M93" s="760">
        <f t="shared" si="28"/>
        <v>5025.687796039593</v>
      </c>
      <c r="P93" s="762" t="s">
        <v>174</v>
      </c>
    </row>
    <row r="94" spans="2:18" ht="12.75">
      <c r="B94" s="758">
        <f>B87</f>
        <v>22.5</v>
      </c>
      <c r="C94" s="760">
        <f t="shared" si="27"/>
        <v>4340.648770667109</v>
      </c>
      <c r="D94" s="760">
        <f t="shared" si="27"/>
        <v>4615.213087524614</v>
      </c>
      <c r="E94" s="760">
        <f t="shared" si="27"/>
        <v>4833.0862282814005</v>
      </c>
      <c r="F94" s="760">
        <f t="shared" si="27"/>
        <v>5047.343359716631</v>
      </c>
      <c r="G94" s="760">
        <f t="shared" si="27"/>
        <v>5269.336118920957</v>
      </c>
      <c r="H94" s="760">
        <f t="shared" si="27"/>
        <v>5488.789423718497</v>
      </c>
      <c r="I94" s="760">
        <f t="shared" si="27"/>
        <v>5676.495014763141</v>
      </c>
      <c r="J94" s="760">
        <f t="shared" si="28"/>
        <v>5775.173021670693</v>
      </c>
      <c r="K94" s="760">
        <f t="shared" si="28"/>
        <v>5698.62227690064</v>
      </c>
      <c r="L94" s="760">
        <f t="shared" si="28"/>
        <v>5355.19128479531</v>
      </c>
      <c r="M94" s="760">
        <f t="shared" si="28"/>
        <v>4697.873566453906</v>
      </c>
      <c r="P94" s="754">
        <f>SUM(C91:M95)*(E90-D90)*(B91-B92)*Z*n*28.3*Ret/1000000000-SUM(C91:C95)*(E90-D90)*(B91-B92)*Z*n*28.3*Ret/1000000000/2</f>
        <v>50.07570168284758</v>
      </c>
      <c r="R94" s="525">
        <f>0.000000001*28.3*W*L*Z*n*(SUM(C91:M95))/COUNT(C91:M95)+Koc*foc*(SUM(C91:M95)/COUNT(C91:M95))*W*L*Z*28.3*rho*0.000000001</f>
        <v>37.966983200370834</v>
      </c>
    </row>
    <row r="95" spans="2:16" ht="12.75">
      <c r="B95" s="758">
        <f>B88</f>
        <v>45</v>
      </c>
      <c r="C95" s="760">
        <f t="shared" si="27"/>
        <v>4340.648770667109</v>
      </c>
      <c r="D95" s="760">
        <f t="shared" si="27"/>
        <v>3852.370506049111</v>
      </c>
      <c r="E95" s="760">
        <f t="shared" si="27"/>
        <v>3927.264294245754</v>
      </c>
      <c r="F95" s="760">
        <f t="shared" si="27"/>
        <v>4047.6909829294614</v>
      </c>
      <c r="G95" s="760">
        <f t="shared" si="27"/>
        <v>4196.345186653756</v>
      </c>
      <c r="H95" s="760">
        <f t="shared" si="27"/>
        <v>4358.589903440562</v>
      </c>
      <c r="I95" s="760">
        <f t="shared" si="27"/>
        <v>4507.537361454932</v>
      </c>
      <c r="J95" s="760">
        <f t="shared" si="28"/>
        <v>4594.789505459157</v>
      </c>
      <c r="K95" s="760">
        <f t="shared" si="28"/>
        <v>4548.730924847553</v>
      </c>
      <c r="L95" s="760">
        <f t="shared" si="28"/>
        <v>4292.377349845412</v>
      </c>
      <c r="M95" s="760">
        <f t="shared" si="28"/>
        <v>3783.2945849939247</v>
      </c>
      <c r="N95" s="760"/>
      <c r="P95" s="754"/>
    </row>
    <row r="96" spans="2:16" ht="12.75">
      <c r="B96" s="746"/>
      <c r="N96" s="745"/>
      <c r="O96" s="745"/>
      <c r="P96" s="745"/>
    </row>
    <row r="97" ht="12.75">
      <c r="P97" s="760"/>
    </row>
    <row r="98" spans="1:16" ht="12.75">
      <c r="A98" s="525" t="s">
        <v>173</v>
      </c>
      <c r="B98" s="525" t="s">
        <v>165</v>
      </c>
      <c r="C98" s="745">
        <f>(1+4*lambda*alpha.x/Vc)^0.5</f>
        <v>1.3771653826315728</v>
      </c>
      <c r="P98" s="745"/>
    </row>
    <row r="99" ht="12.75">
      <c r="A99" s="525" t="s">
        <v>21</v>
      </c>
    </row>
    <row r="100" spans="2:13" ht="12.75">
      <c r="B100" s="746" t="s">
        <v>123</v>
      </c>
      <c r="C100" s="755">
        <f>EXP(C$60/2/[0]!alpha.x*(1-const3))</f>
        <v>0.9999985983678161</v>
      </c>
      <c r="D100" s="755">
        <f>EXP(D$60/2/[0]!alpha.x*(1-const3))</f>
        <v>0.496179966150932</v>
      </c>
      <c r="E100" s="755">
        <f>EXP(E$60/2/[0]!alpha.x*(1-const3))</f>
        <v>0.24619455880954003</v>
      </c>
      <c r="F100" s="755">
        <f>EXP(F$60/2/[0]!alpha.x*(1-const3))</f>
        <v>0.12215680785666122</v>
      </c>
      <c r="G100" s="755">
        <f>EXP(G$60/2/[0]!alpha.x*(1-const3))</f>
        <v>0.060611760787424064</v>
      </c>
      <c r="H100" s="755">
        <f>EXP(H$60/2/[0]!alpha.x*(1-const3))</f>
        <v>0.030074341415852468</v>
      </c>
      <c r="I100" s="755">
        <f>EXP(I$60/2/[0]!alpha.x*(1-const3))</f>
        <v>0.01492228570572925</v>
      </c>
      <c r="J100" s="755">
        <f>EXP(J$60/2/[0]!alpha.x*(1-const3))</f>
        <v>0.007404139216363281</v>
      </c>
      <c r="K100" s="755">
        <f>EXP(K$60/2/[0]!alpha.x*(1-const3))</f>
        <v>0.0036737855457519173</v>
      </c>
      <c r="L100" s="755">
        <f>EXP(L$60/2/[0]!alpha.x*(1-const3))</f>
        <v>0.0018228587877369693</v>
      </c>
      <c r="M100" s="755">
        <f>EXP(M$60/2/[0]!alpha.x*(1-const3))</f>
        <v>0.0009044660115972591</v>
      </c>
    </row>
    <row r="101" spans="2:13" ht="12.75">
      <c r="B101" s="525" t="s">
        <v>124</v>
      </c>
      <c r="C101" s="745">
        <f aca="true" t="shared" si="29" ref="C101:M101">((C105-Vc*t_simulation*const3))/const2</f>
        <v>-4.41890085900417</v>
      </c>
      <c r="D101" s="745">
        <f t="shared" si="29"/>
        <v>-4.129357596890981</v>
      </c>
      <c r="E101" s="745">
        <f t="shared" si="29"/>
        <v>-3.8398137556901095</v>
      </c>
      <c r="F101" s="745">
        <f t="shared" si="29"/>
        <v>-3.550269914489238</v>
      </c>
      <c r="G101" s="745">
        <f t="shared" si="29"/>
        <v>-3.260726073288366</v>
      </c>
      <c r="H101" s="745">
        <f t="shared" si="29"/>
        <v>-2.9711822320874948</v>
      </c>
      <c r="I101" s="745">
        <f t="shared" si="29"/>
        <v>-2.681638390886623</v>
      </c>
      <c r="J101" s="745">
        <f t="shared" si="29"/>
        <v>-2.3920945496857513</v>
      </c>
      <c r="K101" s="745">
        <f t="shared" si="29"/>
        <v>-2.10255070848488</v>
      </c>
      <c r="L101" s="745">
        <f t="shared" si="29"/>
        <v>-1.8130068672840083</v>
      </c>
      <c r="M101" s="745">
        <f t="shared" si="29"/>
        <v>-1.5234630260831368</v>
      </c>
    </row>
    <row r="102" spans="2:13" ht="12.75">
      <c r="B102" s="746" t="s">
        <v>125</v>
      </c>
      <c r="C102" s="763">
        <f>gerfC(C101)</f>
        <v>1.9999999995876232</v>
      </c>
      <c r="D102" s="763">
        <f aca="true" t="shared" si="30" ref="D102:M102">gerfC(D101)</f>
        <v>1.9999999947734446</v>
      </c>
      <c r="E102" s="763">
        <f t="shared" si="30"/>
        <v>1.9999999437458675</v>
      </c>
      <c r="F102" s="763">
        <f t="shared" si="30"/>
        <v>1.999999485539638</v>
      </c>
      <c r="G102" s="763">
        <f t="shared" si="30"/>
        <v>1.9999959996279153</v>
      </c>
      <c r="H102" s="763">
        <f t="shared" si="30"/>
        <v>1.9999735299794774</v>
      </c>
      <c r="I102" s="763">
        <f t="shared" si="30"/>
        <v>1.9998508072874341</v>
      </c>
      <c r="J102" s="763">
        <f t="shared" si="30"/>
        <v>1.9992828375225145</v>
      </c>
      <c r="K102" s="763">
        <f t="shared" si="30"/>
        <v>1.9970553310875874</v>
      </c>
      <c r="L102" s="763">
        <f t="shared" si="30"/>
        <v>1.98965201697633</v>
      </c>
      <c r="M102" s="763">
        <f t="shared" si="30"/>
        <v>1.9687991833459084</v>
      </c>
    </row>
    <row r="103" ht="12.75">
      <c r="P103" s="525" t="s">
        <v>172</v>
      </c>
    </row>
    <row r="104" spans="3:16" ht="12.75">
      <c r="C104" s="525"/>
      <c r="D104" s="525"/>
      <c r="E104" s="525"/>
      <c r="F104" s="525"/>
      <c r="G104" s="525"/>
      <c r="H104" s="525"/>
      <c r="I104" s="525"/>
      <c r="J104" s="525"/>
      <c r="K104" s="525"/>
      <c r="L104" s="764"/>
      <c r="M104" s="525"/>
      <c r="P104" s="754">
        <f>IF(Total_Mass="Infinite",Flux*t_simulation,Total_Mass-Total_Mass*EXP(-ksource*t_simulation))</f>
        <v>77.65586334286627</v>
      </c>
    </row>
    <row r="105" spans="2:13" ht="12.75">
      <c r="B105" s="746"/>
      <c r="C105" s="758">
        <f>C90</f>
        <v>0.0001</v>
      </c>
      <c r="D105" s="758">
        <f>D90</f>
        <v>50</v>
      </c>
      <c r="E105" s="758">
        <f>2*delx</f>
        <v>100</v>
      </c>
      <c r="F105" s="758">
        <f aca="true" t="shared" si="31" ref="F105:M105">F90</f>
        <v>150</v>
      </c>
      <c r="G105" s="758">
        <f t="shared" si="31"/>
        <v>200</v>
      </c>
      <c r="H105" s="758">
        <f t="shared" si="31"/>
        <v>250</v>
      </c>
      <c r="I105" s="758">
        <f t="shared" si="31"/>
        <v>300</v>
      </c>
      <c r="J105" s="758">
        <f t="shared" si="31"/>
        <v>350</v>
      </c>
      <c r="K105" s="758">
        <f t="shared" si="31"/>
        <v>400</v>
      </c>
      <c r="L105" s="758">
        <f t="shared" si="31"/>
        <v>450</v>
      </c>
      <c r="M105" s="758">
        <f t="shared" si="31"/>
        <v>500</v>
      </c>
    </row>
    <row r="106" spans="2:16" ht="12.75">
      <c r="B106" s="758">
        <f aca="true" t="shared" si="32" ref="B106:C110">B91</f>
        <v>45</v>
      </c>
      <c r="C106" s="745">
        <f t="shared" si="32"/>
        <v>4340.648770667109</v>
      </c>
      <c r="D106" s="745">
        <f>IF(OR(D$52=0,D$54=0),0,D91*D$100*D$102/D$52/D$54)</f>
        <v>1911.503990614415</v>
      </c>
      <c r="E106" s="745">
        <f aca="true" t="shared" si="33" ref="E106:M106">IF(OR(E$52=0,E$54=0),0,E91*E$100*E$102/E$52/E$54)</f>
        <v>966.9678435399107</v>
      </c>
      <c r="F106" s="745">
        <f t="shared" si="33"/>
        <v>494.68418146054904</v>
      </c>
      <c r="G106" s="745">
        <f t="shared" si="33"/>
        <v>254.82301071371984</v>
      </c>
      <c r="H106" s="745">
        <f>IF(OR(H$52=0,H$54=0),0,H91*H$100*H$102/H$52/H$54)</f>
        <v>131.9216574064086</v>
      </c>
      <c r="I106" s="745">
        <f>IF(OR(I$52=0,I$54=0),0,I91*I$100*I$102/I$52/I$54)</f>
        <v>68.54088034221358</v>
      </c>
      <c r="J106" s="745">
        <f t="shared" si="33"/>
        <v>35.69736907380332</v>
      </c>
      <c r="K106" s="745">
        <f t="shared" si="33"/>
        <v>18.61249842221469</v>
      </c>
      <c r="L106" s="745">
        <f t="shared" si="33"/>
        <v>9.69320585499809</v>
      </c>
      <c r="M106" s="745">
        <f t="shared" si="33"/>
        <v>5.019186066181032</v>
      </c>
      <c r="P106" s="762" t="s">
        <v>174</v>
      </c>
    </row>
    <row r="107" spans="2:18" ht="12.75">
      <c r="B107" s="758">
        <f t="shared" si="32"/>
        <v>22.5</v>
      </c>
      <c r="C107" s="745">
        <f t="shared" si="32"/>
        <v>4340.648770667109</v>
      </c>
      <c r="D107" s="745">
        <f aca="true" t="shared" si="34" ref="D107:M110">IF(OR(D$52=0,D$54=0),0,D92*D$100*D$102/D$52/D$54)</f>
        <v>2290.01811235098</v>
      </c>
      <c r="E107" s="745">
        <f t="shared" si="34"/>
        <v>1189.9985887507626</v>
      </c>
      <c r="F107" s="745">
        <f t="shared" si="34"/>
        <v>616.8556169385996</v>
      </c>
      <c r="G107" s="745">
        <f t="shared" si="34"/>
        <v>319.98037210011273</v>
      </c>
      <c r="H107" s="745">
        <f t="shared" si="34"/>
        <v>166.12946250348804</v>
      </c>
      <c r="I107" s="745">
        <f t="shared" si="34"/>
        <v>86.31586038467547</v>
      </c>
      <c r="J107" s="745">
        <f t="shared" si="34"/>
        <v>44.86788406187265</v>
      </c>
      <c r="K107" s="745">
        <f t="shared" si="34"/>
        <v>23.317624165945876</v>
      </c>
      <c r="L107" s="745">
        <f t="shared" si="34"/>
        <v>12.093291732210385</v>
      </c>
      <c r="M107" s="745">
        <f t="shared" si="34"/>
        <v>6.232531201496037</v>
      </c>
      <c r="P107" s="754">
        <f>SUM(C106:M110)*(E105-D105)*(B106-B107)*Z*n*28.3/1000000000-SUM(C106:C110)*(E105-D105)*(B106-B107)*Z*n*28.3/1000000000/2</f>
        <v>3.1533507937463208</v>
      </c>
      <c r="R107" s="525">
        <f>0.000000001*28.3*W*L*Z*n*(SUM(C106:M110))/COUNT(C106:M110)+Koc*foc*(SUM(C106:M110)/COUNT(C106:M110))*W*L*Z*28.3*rho*0.000000001</f>
        <v>6.25882381673984</v>
      </c>
    </row>
    <row r="108" spans="2:16" ht="12.75">
      <c r="B108" s="758">
        <f t="shared" si="32"/>
        <v>0</v>
      </c>
      <c r="C108" s="745">
        <f t="shared" si="32"/>
        <v>4340.648770667109</v>
      </c>
      <c r="D108" s="745">
        <f t="shared" si="34"/>
        <v>2300.209227202279</v>
      </c>
      <c r="E108" s="745">
        <f t="shared" si="34"/>
        <v>1217.546804936861</v>
      </c>
      <c r="F108" s="745">
        <f t="shared" si="34"/>
        <v>641.7557319574089</v>
      </c>
      <c r="G108" s="745">
        <f t="shared" si="34"/>
        <v>336.77342412024274</v>
      </c>
      <c r="H108" s="745">
        <f>IF(OR(H$52=0,H$54=0),0,H93*H$100*H$102/H$52/H$54)</f>
        <v>176.1675070058426</v>
      </c>
      <c r="I108" s="745">
        <f t="shared" si="34"/>
        <v>91.9586858779451</v>
      </c>
      <c r="J108" s="745">
        <f t="shared" si="34"/>
        <v>47.929475883992936</v>
      </c>
      <c r="K108" s="745">
        <f t="shared" si="34"/>
        <v>24.94163208605999</v>
      </c>
      <c r="L108" s="745">
        <f t="shared" si="34"/>
        <v>12.940512625520203</v>
      </c>
      <c r="M108" s="745">
        <f t="shared" si="34"/>
        <v>6.667432734133362</v>
      </c>
      <c r="P108" s="764"/>
    </row>
    <row r="109" spans="2:16" ht="12.75">
      <c r="B109" s="758">
        <f t="shared" si="32"/>
        <v>22.5</v>
      </c>
      <c r="C109" s="745">
        <f t="shared" si="32"/>
        <v>4340.648770667109</v>
      </c>
      <c r="D109" s="745">
        <f t="shared" si="34"/>
        <v>2290.01811235098</v>
      </c>
      <c r="E109" s="745">
        <f t="shared" si="34"/>
        <v>1189.9985887507626</v>
      </c>
      <c r="F109" s="745">
        <f t="shared" si="34"/>
        <v>616.8556169385996</v>
      </c>
      <c r="G109" s="745">
        <f t="shared" si="34"/>
        <v>319.98037210011273</v>
      </c>
      <c r="H109" s="745">
        <f t="shared" si="34"/>
        <v>166.12946250348804</v>
      </c>
      <c r="I109" s="745">
        <f t="shared" si="34"/>
        <v>86.31586038467547</v>
      </c>
      <c r="J109" s="745">
        <f t="shared" si="34"/>
        <v>44.86788406187265</v>
      </c>
      <c r="K109" s="745">
        <f t="shared" si="34"/>
        <v>23.317624165945876</v>
      </c>
      <c r="L109" s="745">
        <f t="shared" si="34"/>
        <v>12.093291732210385</v>
      </c>
      <c r="M109" s="745">
        <f t="shared" si="34"/>
        <v>6.232531201496037</v>
      </c>
      <c r="P109" s="746" t="s">
        <v>175</v>
      </c>
    </row>
    <row r="110" spans="2:18" ht="12.75">
      <c r="B110" s="758">
        <f t="shared" si="32"/>
        <v>45</v>
      </c>
      <c r="C110" s="745">
        <f t="shared" si="32"/>
        <v>4340.648770667109</v>
      </c>
      <c r="D110" s="745">
        <f t="shared" si="34"/>
        <v>1911.503990614415</v>
      </c>
      <c r="E110" s="745">
        <f t="shared" si="34"/>
        <v>966.9678435399107</v>
      </c>
      <c r="F110" s="745">
        <f t="shared" si="34"/>
        <v>494.68418146054904</v>
      </c>
      <c r="G110" s="745">
        <f t="shared" si="34"/>
        <v>254.82301071371984</v>
      </c>
      <c r="H110" s="745">
        <f t="shared" si="34"/>
        <v>131.9216574064086</v>
      </c>
      <c r="I110" s="745">
        <f t="shared" si="34"/>
        <v>68.54088034221358</v>
      </c>
      <c r="J110" s="745">
        <f t="shared" si="34"/>
        <v>35.69736907380332</v>
      </c>
      <c r="K110" s="745">
        <f t="shared" si="34"/>
        <v>18.61249842221469</v>
      </c>
      <c r="L110" s="745">
        <f t="shared" si="34"/>
        <v>9.69320585499809</v>
      </c>
      <c r="M110" s="745">
        <f t="shared" si="34"/>
        <v>5.019186066181032</v>
      </c>
      <c r="P110" s="765">
        <f>(P94-P107)/P94</f>
        <v>0.9370283253599133</v>
      </c>
      <c r="Q110" s="765"/>
      <c r="R110" s="765">
        <f>(R94-R107)/R94</f>
        <v>0.835150878759345</v>
      </c>
    </row>
    <row r="111" spans="2:16" ht="12.75">
      <c r="B111" s="746"/>
      <c r="N111" s="745"/>
      <c r="O111" s="745"/>
      <c r="P111" s="745"/>
    </row>
    <row r="112" spans="3:13" ht="12.75">
      <c r="C112" s="525"/>
      <c r="D112" s="525"/>
      <c r="E112" s="525"/>
      <c r="F112" s="525"/>
      <c r="G112" s="525"/>
      <c r="H112" s="525"/>
      <c r="I112" s="525"/>
      <c r="J112" s="525"/>
      <c r="K112" s="525"/>
      <c r="L112" s="525"/>
      <c r="M112" s="525"/>
    </row>
    <row r="113" spans="1:16" ht="12.75">
      <c r="A113" s="525" t="s">
        <v>173</v>
      </c>
      <c r="B113" s="746"/>
      <c r="C113" s="758">
        <f>C105</f>
        <v>0.0001</v>
      </c>
      <c r="D113" s="758">
        <f>D105</f>
        <v>50</v>
      </c>
      <c r="E113" s="758">
        <f>2*delx</f>
        <v>100</v>
      </c>
      <c r="F113" s="758">
        <f aca="true" t="shared" si="35" ref="F113:M113">F105</f>
        <v>150</v>
      </c>
      <c r="G113" s="758">
        <f t="shared" si="35"/>
        <v>200</v>
      </c>
      <c r="H113" s="758">
        <f t="shared" si="35"/>
        <v>250</v>
      </c>
      <c r="I113" s="758">
        <f t="shared" si="35"/>
        <v>300</v>
      </c>
      <c r="J113" s="758">
        <f t="shared" si="35"/>
        <v>350</v>
      </c>
      <c r="K113" s="758">
        <f t="shared" si="35"/>
        <v>400</v>
      </c>
      <c r="L113" s="758">
        <f t="shared" si="35"/>
        <v>450</v>
      </c>
      <c r="M113" s="758">
        <f t="shared" si="35"/>
        <v>500</v>
      </c>
      <c r="P113" s="525" t="s">
        <v>172</v>
      </c>
    </row>
    <row r="114" spans="1:16" ht="12.75">
      <c r="A114" s="525" t="s">
        <v>176</v>
      </c>
      <c r="B114" s="758">
        <f>B106</f>
        <v>45</v>
      </c>
      <c r="C114" s="745">
        <f aca="true" t="shared" si="36" ref="C114:M114">C118</f>
        <v>3825.2729477176113</v>
      </c>
      <c r="D114" s="745">
        <f t="shared" si="36"/>
        <v>4049.2932027580914</v>
      </c>
      <c r="E114" s="745">
        <f t="shared" si="36"/>
        <v>4443.08562250162</v>
      </c>
      <c r="F114" s="745">
        <f t="shared" si="36"/>
        <v>4902.879734331114</v>
      </c>
      <c r="G114" s="745">
        <f t="shared" si="36"/>
        <v>5448.497415733014</v>
      </c>
      <c r="H114" s="745">
        <f t="shared" si="36"/>
        <v>6081.139258889634</v>
      </c>
      <c r="I114" s="745">
        <f t="shared" si="36"/>
        <v>6776.6871450619765</v>
      </c>
      <c r="J114" s="745">
        <f t="shared" si="36"/>
        <v>7464.640730817078</v>
      </c>
      <c r="K114" s="745">
        <f t="shared" si="36"/>
        <v>8007.678576555721</v>
      </c>
      <c r="L114" s="745">
        <f t="shared" si="36"/>
        <v>8210.32372563665</v>
      </c>
      <c r="M114" s="745">
        <f t="shared" si="36"/>
        <v>7883.281697032664</v>
      </c>
      <c r="P114" s="754">
        <f>IF(Total_Mass="Infinite",fluxinst*t_simulation,Total_Mass-Total_Mass*EXP(-ksourceinst*t_simulation))</f>
        <v>129.64479454185238</v>
      </c>
    </row>
    <row r="115" spans="1:13" ht="12.75">
      <c r="A115" s="525" t="s">
        <v>177</v>
      </c>
      <c r="B115" s="758">
        <f>B107</f>
        <v>22.5</v>
      </c>
      <c r="C115" s="745">
        <f aca="true" t="shared" si="37" ref="C115:M115">C117</f>
        <v>3825.2729477176113</v>
      </c>
      <c r="D115" s="745">
        <f t="shared" si="37"/>
        <v>4297.523555800638</v>
      </c>
      <c r="E115" s="745">
        <f t="shared" si="37"/>
        <v>4815.510179487473</v>
      </c>
      <c r="F115" s="745">
        <f t="shared" si="37"/>
        <v>5398.626381331979</v>
      </c>
      <c r="G115" s="745">
        <f t="shared" si="37"/>
        <v>6058.987082540196</v>
      </c>
      <c r="H115" s="745">
        <f t="shared" si="37"/>
        <v>6798.309620299938</v>
      </c>
      <c r="I115" s="745">
        <f t="shared" si="37"/>
        <v>7592.150309103835</v>
      </c>
      <c r="J115" s="745">
        <f t="shared" si="37"/>
        <v>8363.787849434406</v>
      </c>
      <c r="K115" s="745">
        <f t="shared" si="37"/>
        <v>8961.703413943233</v>
      </c>
      <c r="L115" s="745">
        <f t="shared" si="37"/>
        <v>9170.608151569428</v>
      </c>
      <c r="M115" s="745">
        <f t="shared" si="37"/>
        <v>8784.383273858586</v>
      </c>
    </row>
    <row r="116" spans="1:13" ht="12.75">
      <c r="A116" s="525" t="s">
        <v>178</v>
      </c>
      <c r="B116" s="758">
        <f>B108</f>
        <v>0</v>
      </c>
      <c r="C116" s="745">
        <f aca="true" t="shared" si="38" ref="C116:M116">IF(C.1=0,0,bioc.1*EXP(-ksourceinst*MAX(0,(t_simulation-C$58)))/(C.1*EXP(-ksource*MAX(0,(t_simulation-C$58))))*C66)+IF(C.2=0,0,bioc.2*EXP(-ksourceinst*MAX(0,(t_simulation-C$58)))/(C.2*EXP(-ksourceinst*MAX(0,(t_simulation-C$58))))*C76)+IF(C.3=0,0,bioc.3*EXP(-ksourceinst*MAX(0,(t_simulation-C$58)))/(C.3*EXP(-ksource*MAX(0,(t_simulation-C$58))))*C86)</f>
        <v>3825.2729477176113</v>
      </c>
      <c r="D116" s="745">
        <f t="shared" si="38"/>
        <v>4304.0077683882655</v>
      </c>
      <c r="E116" s="745">
        <f t="shared" si="38"/>
        <v>4856.159438745486</v>
      </c>
      <c r="F116" s="745">
        <f t="shared" si="38"/>
        <v>5486.177707600176</v>
      </c>
      <c r="G116" s="745">
        <f t="shared" si="38"/>
        <v>6198.312239187813</v>
      </c>
      <c r="H116" s="745">
        <f t="shared" si="38"/>
        <v>6989.993677291326</v>
      </c>
      <c r="I116" s="745">
        <f t="shared" si="38"/>
        <v>7833.421578042246</v>
      </c>
      <c r="J116" s="745">
        <f t="shared" si="38"/>
        <v>8647.999386651354</v>
      </c>
      <c r="K116" s="745">
        <f t="shared" si="38"/>
        <v>9276.47429900368</v>
      </c>
      <c r="L116" s="745">
        <f t="shared" si="38"/>
        <v>9496.26428963047</v>
      </c>
      <c r="M116" s="745">
        <f t="shared" si="38"/>
        <v>9095.25274363085</v>
      </c>
    </row>
    <row r="117" spans="1:13" ht="12.75">
      <c r="A117" s="525" t="s">
        <v>179</v>
      </c>
      <c r="B117" s="758">
        <f>B109</f>
        <v>22.5</v>
      </c>
      <c r="C117" s="745">
        <f aca="true" t="shared" si="39" ref="C117:M117">IF(C.1=0,0,bioc.1*EXP(-ksourceinst*MAX(0,(t_simulation-C$58)))/(C.1*EXP(-ksource*MAX(0,(t_simulation-C$58))))*C67)+IF(C.2=0,0,bioc.2*EXP(-ksourceinst*MAX(0,(t_simulation-C$58)))/(C.2*EXP(-ksourceinst*MAX(0,(t_simulation-C$58))))*C77)+IF(C.3=0,0,bioc.3*EXP(-ksourceinst*MAX(0,(t_simulation-C$58)))/(C.3*EXP(-ksource*MAX(0,(t_simulation-C$58))))*C87)</f>
        <v>3825.2729477176113</v>
      </c>
      <c r="D117" s="745">
        <f t="shared" si="39"/>
        <v>4297.523555800638</v>
      </c>
      <c r="E117" s="745">
        <f t="shared" si="39"/>
        <v>4815.510179487473</v>
      </c>
      <c r="F117" s="745">
        <f t="shared" si="39"/>
        <v>5398.626381331979</v>
      </c>
      <c r="G117" s="745">
        <f t="shared" si="39"/>
        <v>6058.987082540196</v>
      </c>
      <c r="H117" s="745">
        <f t="shared" si="39"/>
        <v>6798.309620299938</v>
      </c>
      <c r="I117" s="745">
        <f t="shared" si="39"/>
        <v>7592.150309103835</v>
      </c>
      <c r="J117" s="745">
        <f t="shared" si="39"/>
        <v>8363.787849434406</v>
      </c>
      <c r="K117" s="745">
        <f t="shared" si="39"/>
        <v>8961.703413943233</v>
      </c>
      <c r="L117" s="745">
        <f t="shared" si="39"/>
        <v>9170.608151569428</v>
      </c>
      <c r="M117" s="745">
        <f t="shared" si="39"/>
        <v>8784.383273858586</v>
      </c>
    </row>
    <row r="118" spans="1:16" ht="12.75">
      <c r="A118" s="525" t="s">
        <v>180</v>
      </c>
      <c r="B118" s="758">
        <f>B110</f>
        <v>45</v>
      </c>
      <c r="C118" s="745">
        <f aca="true" t="shared" si="40" ref="C118:M118">IF(C.1=0,0,bioc.1*EXP(-ksourceinst*MAX(0,(t_simulation-C$58)))/(C.1*EXP(-ksource*MAX(0,(t_simulation-C$58))))*C68)+IF(C.2=0,0,bioc.2*EXP(-ksourceinst*MAX(0,(t_simulation-C$58)))/(C.2*EXP(-ksourceinst*MAX(0,(t_simulation-C$58))))*C78)+IF(C.3=0,0,bioc.3*EXP(-ksourceinst*MAX(0,(t_simulation-C$58)))/(C.3*EXP(-ksource*MAX(0,(t_simulation-C$58))))*C88)</f>
        <v>3825.2729477176113</v>
      </c>
      <c r="D118" s="745">
        <f t="shared" si="40"/>
        <v>4049.2932027580914</v>
      </c>
      <c r="E118" s="745">
        <f t="shared" si="40"/>
        <v>4443.08562250162</v>
      </c>
      <c r="F118" s="745">
        <f t="shared" si="40"/>
        <v>4902.879734331114</v>
      </c>
      <c r="G118" s="745">
        <f t="shared" si="40"/>
        <v>5448.497415733014</v>
      </c>
      <c r="H118" s="745">
        <f t="shared" si="40"/>
        <v>6081.139258889634</v>
      </c>
      <c r="I118" s="745">
        <f t="shared" si="40"/>
        <v>6776.6871450619765</v>
      </c>
      <c r="J118" s="745">
        <f t="shared" si="40"/>
        <v>7464.640730817078</v>
      </c>
      <c r="K118" s="745">
        <f t="shared" si="40"/>
        <v>8007.678576555721</v>
      </c>
      <c r="L118" s="745">
        <f t="shared" si="40"/>
        <v>8210.32372563665</v>
      </c>
      <c r="M118" s="745">
        <f t="shared" si="40"/>
        <v>7883.281697032664</v>
      </c>
      <c r="P118" s="762" t="s">
        <v>174</v>
      </c>
    </row>
    <row r="119" spans="3:16" ht="12.75">
      <c r="C119" s="525"/>
      <c r="D119" s="525"/>
      <c r="E119" s="525"/>
      <c r="F119" s="525"/>
      <c r="G119" s="525"/>
      <c r="H119" s="525"/>
      <c r="I119" s="525"/>
      <c r="J119" s="525"/>
      <c r="K119" s="525"/>
      <c r="L119" s="525"/>
      <c r="M119" s="525"/>
      <c r="P119" s="754">
        <f>SUM(C114:M118)*(E113-D113)*(B114-B115)*Z*n*28.3*Ret/1000000-SUM(C114:C118)*(E113-D113)*(B114-B115)*Z*n*28.3*Ret/1000000/2</f>
        <v>68421.73683939813</v>
      </c>
    </row>
    <row r="120" spans="3:13" ht="12.75">
      <c r="C120" s="525"/>
      <c r="D120" s="525"/>
      <c r="E120" s="525"/>
      <c r="F120" s="525"/>
      <c r="G120" s="525"/>
      <c r="H120" s="525"/>
      <c r="I120" s="525"/>
      <c r="J120" s="525"/>
      <c r="K120" s="525"/>
      <c r="L120" s="525"/>
      <c r="M120" s="525"/>
    </row>
    <row r="121" spans="1:13" ht="12.75">
      <c r="A121" s="525" t="s">
        <v>173</v>
      </c>
      <c r="B121" s="746"/>
      <c r="C121" s="758">
        <f>C105</f>
        <v>0.0001</v>
      </c>
      <c r="D121" s="758">
        <f>D105</f>
        <v>50</v>
      </c>
      <c r="E121" s="758">
        <f>2*delx</f>
        <v>100</v>
      </c>
      <c r="F121" s="758">
        <f aca="true" t="shared" si="41" ref="F121:M121">F105</f>
        <v>150</v>
      </c>
      <c r="G121" s="758">
        <f t="shared" si="41"/>
        <v>200</v>
      </c>
      <c r="H121" s="758">
        <f t="shared" si="41"/>
        <v>250</v>
      </c>
      <c r="I121" s="758">
        <f t="shared" si="41"/>
        <v>300</v>
      </c>
      <c r="J121" s="758">
        <f t="shared" si="41"/>
        <v>350</v>
      </c>
      <c r="K121" s="758">
        <f t="shared" si="41"/>
        <v>400</v>
      </c>
      <c r="L121" s="758">
        <f t="shared" si="41"/>
        <v>450</v>
      </c>
      <c r="M121" s="758">
        <f t="shared" si="41"/>
        <v>500</v>
      </c>
    </row>
    <row r="122" spans="1:13" ht="12.75">
      <c r="A122" s="525" t="s">
        <v>181</v>
      </c>
      <c r="B122" s="758">
        <f>B114</f>
        <v>45</v>
      </c>
      <c r="C122" s="745">
        <f>MAX(0,C114-biodegcap)</f>
        <v>0</v>
      </c>
      <c r="D122" s="745">
        <f aca="true" t="shared" si="42" ref="D122:M122">MAX(0,D114-biodegcap)</f>
        <v>0</v>
      </c>
      <c r="E122" s="745">
        <f t="shared" si="42"/>
        <v>0</v>
      </c>
      <c r="F122" s="745">
        <f t="shared" si="42"/>
        <v>0</v>
      </c>
      <c r="G122" s="745">
        <f t="shared" si="42"/>
        <v>0</v>
      </c>
      <c r="H122" s="745">
        <f t="shared" si="42"/>
        <v>0</v>
      </c>
      <c r="I122" s="745">
        <f t="shared" si="42"/>
        <v>0</v>
      </c>
      <c r="J122" s="745">
        <f t="shared" si="42"/>
        <v>0</v>
      </c>
      <c r="K122" s="745">
        <f t="shared" si="42"/>
        <v>133.37857655572043</v>
      </c>
      <c r="L122" s="745">
        <f t="shared" si="42"/>
        <v>336.02372563664994</v>
      </c>
      <c r="M122" s="745">
        <f t="shared" si="42"/>
        <v>8.98169703266376</v>
      </c>
    </row>
    <row r="123" spans="1:16" ht="12.75">
      <c r="A123" s="525" t="s">
        <v>182</v>
      </c>
      <c r="B123" s="758">
        <f>B115</f>
        <v>22.5</v>
      </c>
      <c r="C123" s="745">
        <f aca="true" t="shared" si="43" ref="C123:M126">MAX(0,C115-biodegcap)</f>
        <v>0</v>
      </c>
      <c r="D123" s="745">
        <f t="shared" si="43"/>
        <v>0</v>
      </c>
      <c r="E123" s="745">
        <f t="shared" si="43"/>
        <v>0</v>
      </c>
      <c r="F123" s="745">
        <f t="shared" si="43"/>
        <v>0</v>
      </c>
      <c r="G123" s="745">
        <f t="shared" si="43"/>
        <v>0</v>
      </c>
      <c r="H123" s="745">
        <f t="shared" si="43"/>
        <v>0</v>
      </c>
      <c r="I123" s="745">
        <f t="shared" si="43"/>
        <v>0</v>
      </c>
      <c r="J123" s="745">
        <f t="shared" si="43"/>
        <v>489.4878494344057</v>
      </c>
      <c r="K123" s="745">
        <f t="shared" si="43"/>
        <v>1087.4034139432324</v>
      </c>
      <c r="L123" s="745">
        <f t="shared" si="43"/>
        <v>1296.3081515694275</v>
      </c>
      <c r="M123" s="745">
        <f t="shared" si="43"/>
        <v>910.0832738585859</v>
      </c>
      <c r="P123" s="762" t="s">
        <v>174</v>
      </c>
    </row>
    <row r="124" spans="1:16" ht="12.75">
      <c r="A124" s="525" t="s">
        <v>183</v>
      </c>
      <c r="B124" s="758">
        <f>B116</f>
        <v>0</v>
      </c>
      <c r="C124" s="745">
        <f t="shared" si="43"/>
        <v>0</v>
      </c>
      <c r="D124" s="745">
        <f t="shared" si="43"/>
        <v>0</v>
      </c>
      <c r="E124" s="745">
        <f t="shared" si="43"/>
        <v>0</v>
      </c>
      <c r="F124" s="745">
        <f t="shared" si="43"/>
        <v>0</v>
      </c>
      <c r="G124" s="745">
        <f t="shared" si="43"/>
        <v>0</v>
      </c>
      <c r="H124" s="745">
        <f t="shared" si="43"/>
        <v>0</v>
      </c>
      <c r="I124" s="745">
        <f t="shared" si="43"/>
        <v>0</v>
      </c>
      <c r="J124" s="745">
        <f t="shared" si="43"/>
        <v>773.699386651354</v>
      </c>
      <c r="K124" s="745">
        <f t="shared" si="43"/>
        <v>1402.1742990036792</v>
      </c>
      <c r="L124" s="745">
        <f t="shared" si="43"/>
        <v>1621.9642896304695</v>
      </c>
      <c r="M124" s="745">
        <f t="shared" si="43"/>
        <v>1220.95274363085</v>
      </c>
      <c r="P124" s="754">
        <f>SUM(C122:M126)*(E121-D121)*(B122-B123)*Z*n*28.3*Ret/1000000-SUM(C122:C126)*(E121-D121)*(B122-B123)*Z*n*28.3*Ret/1000000/2</f>
        <v>2656.730130134685</v>
      </c>
    </row>
    <row r="125" spans="2:13" ht="12.75">
      <c r="B125" s="758">
        <f>B117</f>
        <v>22.5</v>
      </c>
      <c r="C125" s="745">
        <f t="shared" si="43"/>
        <v>0</v>
      </c>
      <c r="D125" s="745">
        <f t="shared" si="43"/>
        <v>0</v>
      </c>
      <c r="E125" s="745">
        <f t="shared" si="43"/>
        <v>0</v>
      </c>
      <c r="F125" s="745">
        <f t="shared" si="43"/>
        <v>0</v>
      </c>
      <c r="G125" s="745">
        <f t="shared" si="43"/>
        <v>0</v>
      </c>
      <c r="H125" s="745">
        <f t="shared" si="43"/>
        <v>0</v>
      </c>
      <c r="I125" s="745">
        <f t="shared" si="43"/>
        <v>0</v>
      </c>
      <c r="J125" s="745">
        <f t="shared" si="43"/>
        <v>489.4878494344057</v>
      </c>
      <c r="K125" s="745">
        <f t="shared" si="43"/>
        <v>1087.4034139432324</v>
      </c>
      <c r="L125" s="745">
        <f t="shared" si="43"/>
        <v>1296.3081515694275</v>
      </c>
      <c r="M125" s="745">
        <f t="shared" si="43"/>
        <v>910.0832738585859</v>
      </c>
    </row>
    <row r="126" spans="2:13" ht="12.75">
      <c r="B126" s="758">
        <f>B118</f>
        <v>45</v>
      </c>
      <c r="C126" s="745">
        <f t="shared" si="43"/>
        <v>0</v>
      </c>
      <c r="D126" s="745">
        <f t="shared" si="43"/>
        <v>0</v>
      </c>
      <c r="E126" s="745">
        <f t="shared" si="43"/>
        <v>0</v>
      </c>
      <c r="F126" s="745">
        <f t="shared" si="43"/>
        <v>0</v>
      </c>
      <c r="G126" s="745">
        <f t="shared" si="43"/>
        <v>0</v>
      </c>
      <c r="H126" s="745">
        <f t="shared" si="43"/>
        <v>0</v>
      </c>
      <c r="I126" s="745">
        <f t="shared" si="43"/>
        <v>0</v>
      </c>
      <c r="J126" s="745">
        <f t="shared" si="43"/>
        <v>0</v>
      </c>
      <c r="K126" s="745">
        <f t="shared" si="43"/>
        <v>133.37857655572043</v>
      </c>
      <c r="L126" s="745">
        <f t="shared" si="43"/>
        <v>336.02372563664994</v>
      </c>
      <c r="M126" s="745">
        <f t="shared" si="43"/>
        <v>8.98169703266376</v>
      </c>
    </row>
    <row r="127" spans="3:16" ht="12.75">
      <c r="C127" s="525"/>
      <c r="D127" s="525"/>
      <c r="E127" s="525"/>
      <c r="F127" s="525"/>
      <c r="G127" s="525"/>
      <c r="H127" s="525"/>
      <c r="I127" s="525"/>
      <c r="J127" s="525"/>
      <c r="K127" s="525"/>
      <c r="L127" s="525"/>
      <c r="M127" s="525"/>
      <c r="P127" s="746" t="s">
        <v>184</v>
      </c>
    </row>
    <row r="128" spans="3:16" ht="12.75">
      <c r="C128" s="525"/>
      <c r="D128" s="525"/>
      <c r="E128" s="525"/>
      <c r="F128" s="525"/>
      <c r="G128" s="525"/>
      <c r="P128" s="765">
        <f>(P119-P124)/P119</f>
        <v>0.9611712556147083</v>
      </c>
    </row>
    <row r="129" spans="2:13" ht="12.75">
      <c r="B129" s="391" t="e">
        <f>IF(Input!#REF!&lt;&gt;0,"Can't Calc",Vs*n*Z*28.3*(($A123-$A124)*(B125+2*B124+2*B123)))/365</f>
        <v>#REF!</v>
      </c>
      <c r="C129" s="391" t="e">
        <f>IF(Input!#REF!&lt;&gt;0,"Can't Calc",Vs*n*Z*28.3*(($A123-$A124)*(C125+2*C124+2*C123)))/365</f>
        <v>#REF!</v>
      </c>
      <c r="D129" s="391" t="e">
        <f>IF(Input!#REF!&lt;&gt;0,"Can't Calc",Vs*n*Z*28.3*(($A123-$A124)*(D125+2*D124+2*D123)))/365</f>
        <v>#REF!</v>
      </c>
      <c r="E129" s="391" t="e">
        <f>IF(Input!#REF!&lt;&gt;0,"Can't Calc",Vs*n*Z*28.3*(($A123-$A124)*(E125+2*E124+2*E123)))/365</f>
        <v>#REF!</v>
      </c>
      <c r="F129" s="391" t="e">
        <f>IF(Input!#REF!&lt;&gt;0,"Can't Calc",Vs*n*Z*28.3*(($A123-$A124)*(F125+2*F124+2*F123)))/365</f>
        <v>#REF!</v>
      </c>
      <c r="G129" s="391" t="e">
        <f>IF(Input!#REF!&lt;&gt;0,"Can't Calc",Vs*n*Z*28.3*(($A123-$A124)*(G125+2*G124+2*G123)))/365</f>
        <v>#REF!</v>
      </c>
      <c r="H129" s="391" t="e">
        <f>IF(Input!#REF!&lt;&gt;0,"Can't Calc",Vs*n*Z*28.3*(($A123-$A124)*(H125+2*H124+2*H123)))/365</f>
        <v>#REF!</v>
      </c>
      <c r="I129" s="391" t="e">
        <f>IF(Input!#REF!&lt;&gt;0,"Can't Calc",Vs*n*Z*28.3*(($A123-$A124)*(I125+2*I124+2*I123)))/365</f>
        <v>#REF!</v>
      </c>
      <c r="J129" s="391" t="e">
        <f>IF(Input!#REF!&lt;&gt;0,"Can't Calc",Vs*n*Z*28.3*(($A123-$A124)*(J125+2*J124+2*J123)))/365</f>
        <v>#REF!</v>
      </c>
      <c r="K129" s="391" t="e">
        <f>IF(Input!#REF!&lt;&gt;0,"Can't Calc",Vs*n*Z*28.3*(($A123-$A124)*(K125+2*K124+2*K123)))/365</f>
        <v>#REF!</v>
      </c>
      <c r="L129" s="391" t="e">
        <f>IF(Input!#REF!&lt;&gt;0,"Can't Calc",Vs*n*Z*28.3*(($A123-$A124)*(L125+2*L124+2*L123)))/365</f>
        <v>#REF!</v>
      </c>
      <c r="M129" s="745" t="s">
        <v>185</v>
      </c>
    </row>
    <row r="130" spans="1:13" ht="12.75">
      <c r="A130" s="525" t="s">
        <v>186</v>
      </c>
      <c r="B130" s="391">
        <f>Flux*1000000/365</f>
        <v>29967.159685039376</v>
      </c>
      <c r="C130" s="391" t="e">
        <f>IF(Input!#REF!&lt;&gt;0,"Can't Calc",Vs*n*Z*28.3/365*($A124-$A125)*((2*10^((LOG10(MAX(C126,0.001))+LOG10(MAX(C125,0.001)))/2))+(2*10^((LOG10(MAX(C125,0.001))+LOG10(MAX(C124,0.001)))/2))+(2*10^((LOG10(MAX(C124,0.001))+LOG10(0.001))/2))))</f>
        <v>#REF!</v>
      </c>
      <c r="D130" s="391" t="e">
        <f>IF(Input!#REF!&lt;&gt;0,"Can't Calc",Vs*n*Z*28.3/365*($A124-$A125)*((2*10^((LOG10(MAX(D126,0.001))+LOG10(MAX(D125,0.001)))/2))+(2*10^((LOG10(MAX(D125,0.001))+LOG10(MAX(D124,0.001)))/2))+(2*10^((LOG10(MAX(D124,0.001))+LOG10(0.001))/2))))</f>
        <v>#REF!</v>
      </c>
      <c r="E130" s="391" t="e">
        <f>IF(Input!#REF!&lt;&gt;0,"Can't Calc",Vs*n*Z*28.3/365*($A124-$A125)*((2*10^((LOG10(MAX(E126,0.001))+LOG10(MAX(E125,0.001)))/2))+(2*10^((LOG10(MAX(E125,0.001))+LOG10(MAX(E124,0.001)))/2))+(2*10^((LOG10(MAX(E124,0.001))+LOG10(0.001))/2))))</f>
        <v>#REF!</v>
      </c>
      <c r="F130" s="391" t="e">
        <f>IF(Input!#REF!&lt;&gt;0,"Can't Calc",Vs*n*Z*28.3/365*($A124-$A125)*((2*10^((LOG10(MAX(F126,0.001))+LOG10(MAX(F125,0.001)))/2))+(2*10^((LOG10(MAX(F125,0.001))+LOG10(MAX(F124,0.001)))/2))+(2*10^((LOG10(MAX(F124,0.001))+LOG10(0.001))/2))))</f>
        <v>#REF!</v>
      </c>
      <c r="G130" s="391" t="e">
        <f>IF(Input!#REF!&lt;&gt;0,"Can't Calc",Vs*n*Z*28.3/365*($A124-$A125)*((2*10^((LOG10(MAX(G126,0.001))+LOG10(MAX(G125,0.001)))/2))+(2*10^((LOG10(MAX(G125,0.001))+LOG10(MAX(G124,0.001)))/2))+(2*10^((LOG10(MAX(G124,0.001))+LOG10(0.001))/2))))</f>
        <v>#REF!</v>
      </c>
      <c r="H130" s="391" t="e">
        <f>IF(Input!#REF!&lt;&gt;0,"Can't Calc",Vs*n*Z*28.3/365*($A124-$A125)*((2*10^((LOG10(MAX(H126,0.001))+LOG10(MAX(H125,0.001)))/2))+(2*10^((LOG10(MAX(H125,0.001))+LOG10(MAX(H124,0.001)))/2))+(2*10^((LOG10(MAX(H124,0.001))+LOG10(0.001))/2))))</f>
        <v>#REF!</v>
      </c>
      <c r="I130" s="391" t="e">
        <f>IF(Input!#REF!&lt;&gt;0,"Can't Calc",Vs*n*Z*28.3/365*($A124-$A125)*((2*10^((LOG10(MAX(I126,0.001))+LOG10(MAX(I125,0.001)))/2))+(2*10^((LOG10(MAX(I125,0.001))+LOG10(MAX(I124,0.001)))/2))+(2*10^((LOG10(MAX(I124,0.001))+LOG10(0.001))/2))))</f>
        <v>#REF!</v>
      </c>
      <c r="J130" s="391" t="e">
        <f>IF(Input!#REF!&lt;&gt;0,"Can't Calc",Vs*n*Z*28.3/365*($A124-$A125)*((2*10^((LOG10(MAX(J126,0.001))+LOG10(MAX(J125,0.001)))/2))+(2*10^((LOG10(MAX(J125,0.001))+LOG10(MAX(J124,0.001)))/2))+(2*10^((LOG10(MAX(J124,0.001))+LOG10(0.001))/2))))</f>
        <v>#REF!</v>
      </c>
      <c r="K130" s="391" t="e">
        <f>IF(Input!#REF!&lt;&gt;0,"Can't Calc",Vs*n*Z*28.3/365*($A124-$A125)*((2*10^((LOG10(MAX(K126,0.001))+LOG10(MAX(K125,0.001)))/2))+(2*10^((LOG10(MAX(K125,0.001))+LOG10(MAX(K124,0.001)))/2))+(2*10^((LOG10(MAX(K124,0.001))+LOG10(0.001))/2))))</f>
        <v>#REF!</v>
      </c>
      <c r="L130" s="391" t="e">
        <f>IF(Input!#REF!&lt;&gt;0,"Can't Calc",Vs*n*Z*28.3/365*($A124-$A125)*((2*10^((LOG10(MAX(L126,0.001))+LOG10(MAX(L125,0.001)))/2))+(2*10^((LOG10(MAX(L125,0.001))+LOG10(MAX(L124,0.001)))/2))+(2*10^((LOG10(MAX(L124,0.001))+LOG10(0.001))/2))))</f>
        <v>#REF!</v>
      </c>
      <c r="M130" s="745" t="s">
        <v>187</v>
      </c>
    </row>
    <row r="131" spans="1:7" ht="12.75">
      <c r="A131" s="525">
        <v>11</v>
      </c>
      <c r="G131" s="525"/>
    </row>
  </sheetData>
  <sheetProtection/>
  <printOptions horizontalCentered="1"/>
  <pageMargins left="0.49" right="0.46" top="1" bottom="1.02" header="0.49" footer="0.6"/>
  <pageSetup blackAndWhite="1" fitToHeight="1" fitToWidth="1" horizontalDpi="300" verticalDpi="300" orientation="landscape" scale="96" r:id="rId4"/>
  <headerFooter alignWithMargins="0">
    <oddHeader>&amp;LWashington State Department of Ecology: TCP program&amp;R&amp;D</oddHeader>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V111"/>
  <sheetViews>
    <sheetView showGridLines="0" showRowColHeaders="0" zoomScale="115" zoomScaleNormal="115" zoomScalePageLayoutView="0" workbookViewId="0" topLeftCell="A1">
      <selection activeCell="M26" sqref="M26"/>
    </sheetView>
  </sheetViews>
  <sheetFormatPr defaultColWidth="9.00390625" defaultRowHeight="12.75"/>
  <cols>
    <col min="1" max="1" width="1.25" style="103" customWidth="1"/>
    <col min="2" max="2" width="13.125" style="103" customWidth="1"/>
    <col min="3" max="13" width="9.75390625" style="103" customWidth="1"/>
    <col min="14" max="14" width="2.50390625" style="103" customWidth="1"/>
    <col min="15" max="19" width="8.75390625" style="103" customWidth="1"/>
    <col min="20" max="20" width="12.50390625" style="103" customWidth="1"/>
    <col min="21" max="21" width="11.25390625" style="103" customWidth="1"/>
    <col min="22" max="22" width="10.75390625" style="103" customWidth="1"/>
    <col min="23" max="23" width="10.50390625" style="103" customWidth="1"/>
    <col min="24" max="29" width="12.50390625" style="103" bestFit="1" customWidth="1"/>
    <col min="30" max="30" width="16.00390625" style="103" customWidth="1"/>
    <col min="31" max="31" width="12.50390625" style="103" bestFit="1" customWidth="1"/>
    <col min="32" max="32" width="12.50390625" style="103" customWidth="1"/>
    <col min="33" max="33" width="14.25390625" style="103" customWidth="1"/>
    <col min="34" max="34" width="12.25390625" style="103" customWidth="1"/>
    <col min="35" max="35" width="12.50390625" style="103" customWidth="1"/>
    <col min="36" max="36" width="12.375" style="103" customWidth="1"/>
    <col min="37" max="37" width="12.50390625" style="103" customWidth="1"/>
    <col min="38" max="38" width="12.25390625" style="103" customWidth="1"/>
    <col min="39" max="39" width="12.00390625" style="103" customWidth="1"/>
    <col min="40" max="40" width="12.375" style="103" customWidth="1"/>
    <col min="41" max="41" width="14.50390625" style="103" customWidth="1"/>
    <col min="42" max="42" width="13.625" style="103" customWidth="1"/>
    <col min="43" max="43" width="12.75390625" style="103" customWidth="1"/>
    <col min="44" max="44" width="13.125" style="103" customWidth="1"/>
    <col min="45" max="45" width="12.00390625" style="103" customWidth="1"/>
    <col min="46" max="46" width="13.75390625" style="103" customWidth="1"/>
    <col min="47" max="47" width="12.25390625" style="103" customWidth="1"/>
    <col min="48" max="48" width="11.625" style="103" bestFit="1" customWidth="1"/>
    <col min="49" max="49" width="11.625" style="103" customWidth="1"/>
    <col min="50" max="50" width="11.625" style="103" bestFit="1" customWidth="1"/>
    <col min="51" max="52" width="12.00390625" style="103" bestFit="1" customWidth="1"/>
    <col min="53" max="53" width="10.625" style="103" customWidth="1"/>
    <col min="54" max="55" width="13.75390625" style="103" customWidth="1"/>
    <col min="56" max="56" width="11.625" style="103" bestFit="1" customWidth="1"/>
    <col min="57" max="57" width="11.50390625" style="103" bestFit="1" customWidth="1"/>
    <col min="58" max="59" width="11.625" style="103" bestFit="1" customWidth="1"/>
    <col min="60" max="60" width="11.75390625" style="103" customWidth="1"/>
    <col min="61" max="61" width="13.50390625" style="103" customWidth="1"/>
    <col min="62" max="65" width="11.625" style="103" bestFit="1" customWidth="1"/>
    <col min="66" max="68" width="12.00390625" style="103" bestFit="1" customWidth="1"/>
    <col min="69" max="69" width="11.50390625" style="103" customWidth="1"/>
    <col min="70" max="71" width="11.625" style="103" bestFit="1" customWidth="1"/>
    <col min="72" max="72" width="11.50390625" style="103" bestFit="1" customWidth="1"/>
    <col min="73" max="73" width="11.625" style="103" bestFit="1" customWidth="1"/>
    <col min="74" max="74" width="10.875" style="103" customWidth="1"/>
    <col min="75" max="75" width="15.25390625" style="103" customWidth="1"/>
    <col min="76" max="76" width="12.50390625" style="103" customWidth="1"/>
    <col min="77" max="77" width="14.125" style="103" customWidth="1"/>
    <col min="78" max="78" width="12.50390625" style="103" customWidth="1"/>
    <col min="79" max="79" width="11.50390625" style="103" bestFit="1" customWidth="1"/>
    <col min="80" max="80" width="10.50390625" style="103" customWidth="1"/>
    <col min="81" max="89" width="8.875" style="103" customWidth="1"/>
    <col min="90" max="90" width="9.875" style="103" customWidth="1"/>
    <col min="91" max="91" width="9.75390625" style="103" customWidth="1"/>
    <col min="92" max="93" width="8.875" style="103" customWidth="1"/>
    <col min="94" max="94" width="9.00390625" style="103" bestFit="1" customWidth="1"/>
    <col min="95" max="102" width="8.875" style="103" customWidth="1"/>
    <col min="103" max="103" width="12.75390625" style="103" customWidth="1"/>
    <col min="104" max="104" width="13.375" style="103" customWidth="1"/>
    <col min="105" max="105" width="12.25390625" style="103" customWidth="1"/>
    <col min="106" max="115" width="8.875" style="103" customWidth="1"/>
    <col min="116" max="116" width="9.125" style="103" bestFit="1" customWidth="1"/>
    <col min="117" max="125" width="9.00390625" style="103" bestFit="1" customWidth="1"/>
    <col min="126" max="126" width="11.25390625" style="103" customWidth="1"/>
    <col min="127" max="16384" width="8.875" style="103" customWidth="1"/>
  </cols>
  <sheetData>
    <row r="1" spans="1:14" s="109" customFormat="1" ht="15.75" customHeight="1">
      <c r="A1" s="261"/>
      <c r="B1" s="711" t="s">
        <v>689</v>
      </c>
      <c r="C1" s="711"/>
      <c r="D1" s="261"/>
      <c r="E1" s="261"/>
      <c r="F1" s="261"/>
      <c r="G1" s="261"/>
      <c r="H1" s="261"/>
      <c r="I1" s="261"/>
      <c r="J1" s="261"/>
      <c r="K1" s="262" t="str">
        <f>Input!H1</f>
        <v>Site Name:</v>
      </c>
      <c r="L1" s="283" t="str">
        <f>site_name</f>
        <v>Dummy XYZ site</v>
      </c>
      <c r="M1" s="261"/>
      <c r="N1" s="261"/>
    </row>
    <row r="2" spans="1:14" s="109" customFormat="1" ht="15.75" customHeight="1">
      <c r="A2" s="1136"/>
      <c r="B2" s="711"/>
      <c r="C2" s="711" t="s">
        <v>704</v>
      </c>
      <c r="D2" s="261"/>
      <c r="E2" s="261"/>
      <c r="F2" s="261"/>
      <c r="G2" s="261"/>
      <c r="H2" s="261"/>
      <c r="I2" s="261"/>
      <c r="J2" s="261"/>
      <c r="K2" s="262" t="str">
        <f>Input!H2</f>
        <v>Site Address:</v>
      </c>
      <c r="L2" s="283" t="str">
        <f>site_address</f>
        <v>1234, Olympia, WA 98501</v>
      </c>
      <c r="M2" s="261"/>
      <c r="N2" s="261"/>
    </row>
    <row r="3" spans="1:14" s="109" customFormat="1" ht="14.25" customHeight="1" thickBot="1">
      <c r="A3" s="263"/>
      <c r="B3" s="264"/>
      <c r="C3" s="263"/>
      <c r="D3" s="263"/>
      <c r="E3" s="263"/>
      <c r="F3" s="263"/>
      <c r="G3" s="263"/>
      <c r="H3" s="263"/>
      <c r="I3" s="263"/>
      <c r="J3" s="263"/>
      <c r="K3" s="265" t="str">
        <f>Input!B19</f>
        <v>Hazardous Substance:</v>
      </c>
      <c r="L3" s="284" t="str">
        <f>Input!E19</f>
        <v>Benzene</v>
      </c>
      <c r="M3" s="263"/>
      <c r="N3" s="261"/>
    </row>
    <row r="4" spans="1:14" ht="5.25" customHeight="1" thickTop="1">
      <c r="A4" s="261"/>
      <c r="B4" s="266"/>
      <c r="C4" s="266"/>
      <c r="D4" s="266"/>
      <c r="E4" s="266"/>
      <c r="F4" s="261"/>
      <c r="G4" s="266"/>
      <c r="H4" s="266"/>
      <c r="I4" s="266"/>
      <c r="J4" s="266"/>
      <c r="K4" s="266"/>
      <c r="L4" s="266"/>
      <c r="M4" s="266"/>
      <c r="N4" s="266"/>
    </row>
    <row r="5" spans="1:14" ht="12.75">
      <c r="A5" s="261"/>
      <c r="B5" s="267" t="s">
        <v>464</v>
      </c>
      <c r="C5" s="268"/>
      <c r="D5" s="285" t="str">
        <f>"Groundwater concentrations (ug/L) in a vertical cross section  (@ x = "&amp;X_SWLoad&amp;" ft and t = "&amp;t_SWLoad&amp;" years)"</f>
        <v>Groundwater concentrations (ug/L) in a vertical cross section  (@ x = 150 ft and t = 15 years)</v>
      </c>
      <c r="E5" s="269"/>
      <c r="F5" s="270"/>
      <c r="G5" s="270"/>
      <c r="H5" s="270"/>
      <c r="I5" s="270"/>
      <c r="J5" s="270"/>
      <c r="K5" s="270"/>
      <c r="L5" s="271"/>
      <c r="M5" s="271"/>
      <c r="N5" s="266"/>
    </row>
    <row r="6" spans="1:14" ht="13.5" thickBot="1">
      <c r="A6" s="261"/>
      <c r="B6" s="267" t="s">
        <v>462</v>
      </c>
      <c r="C6" s="268"/>
      <c r="D6" s="268"/>
      <c r="E6" s="268"/>
      <c r="F6" s="270"/>
      <c r="G6" s="272" t="s">
        <v>463</v>
      </c>
      <c r="H6" s="273"/>
      <c r="I6" s="273"/>
      <c r="J6" s="273"/>
      <c r="K6" s="273"/>
      <c r="L6" s="274"/>
      <c r="M6" s="271"/>
      <c r="N6" s="266"/>
    </row>
    <row r="7" spans="1:16" s="149" customFormat="1" ht="10.5" customHeight="1" thickBot="1">
      <c r="A7" s="275"/>
      <c r="B7" s="647"/>
      <c r="C7" s="648">
        <f aca="true" t="shared" si="0" ref="C7:M7">N52</f>
        <v>0</v>
      </c>
      <c r="D7" s="649">
        <f t="shared" si="0"/>
        <v>12.5</v>
      </c>
      <c r="E7" s="649">
        <f t="shared" si="0"/>
        <v>25</v>
      </c>
      <c r="F7" s="649">
        <f t="shared" si="0"/>
        <v>37.5</v>
      </c>
      <c r="G7" s="649">
        <f t="shared" si="0"/>
        <v>50</v>
      </c>
      <c r="H7" s="649">
        <f t="shared" si="0"/>
        <v>62.5</v>
      </c>
      <c r="I7" s="649">
        <f t="shared" si="0"/>
        <v>75</v>
      </c>
      <c r="J7" s="649">
        <f t="shared" si="0"/>
        <v>87.5</v>
      </c>
      <c r="K7" s="649">
        <f t="shared" si="0"/>
        <v>100</v>
      </c>
      <c r="L7" s="649">
        <f t="shared" si="0"/>
        <v>112.5</v>
      </c>
      <c r="M7" s="650">
        <f t="shared" si="0"/>
        <v>125</v>
      </c>
      <c r="N7" s="276"/>
      <c r="O7" s="257"/>
      <c r="P7" s="257"/>
    </row>
    <row r="8" spans="1:14" s="149" customFormat="1" ht="10.5" customHeight="1" thickTop="1">
      <c r="A8" s="275"/>
      <c r="B8" s="651">
        <f>C53</f>
        <v>0</v>
      </c>
      <c r="C8" s="652">
        <f>N67</f>
        <v>545.2918822133065</v>
      </c>
      <c r="D8" s="653">
        <f aca="true" t="shared" si="1" ref="D8:M8">O67</f>
        <v>544.5443786154185</v>
      </c>
      <c r="E8" s="653">
        <f t="shared" si="1"/>
        <v>540.3621610542936</v>
      </c>
      <c r="F8" s="653">
        <f t="shared" si="1"/>
        <v>525.5858803744426</v>
      </c>
      <c r="G8" s="653">
        <f t="shared" si="1"/>
        <v>486.91201066804126</v>
      </c>
      <c r="H8" s="653">
        <f t="shared" si="1"/>
        <v>411.6435117940913</v>
      </c>
      <c r="I8" s="653">
        <f t="shared" si="1"/>
        <v>302.6863005293456</v>
      </c>
      <c r="J8" s="653">
        <f t="shared" si="1"/>
        <v>185.3634426169207</v>
      </c>
      <c r="K8" s="653">
        <f t="shared" si="1"/>
        <v>91.39093697679618</v>
      </c>
      <c r="L8" s="653">
        <f t="shared" si="1"/>
        <v>35.403795961503164</v>
      </c>
      <c r="M8" s="654">
        <f t="shared" si="1"/>
        <v>10.595627605576608</v>
      </c>
      <c r="N8" s="277"/>
    </row>
    <row r="9" spans="1:14" s="149" customFormat="1" ht="10.5" customHeight="1">
      <c r="A9" s="275"/>
      <c r="B9" s="655">
        <f aca="true" t="shared" si="2" ref="B9:B18">C54</f>
        <v>-3.5</v>
      </c>
      <c r="C9" s="656">
        <f aca="true" t="shared" si="3" ref="C9:C18">N68</f>
        <v>526.0003735066492</v>
      </c>
      <c r="D9" s="657">
        <f aca="true" t="shared" si="4" ref="D9:D18">O68</f>
        <v>525.2793153275127</v>
      </c>
      <c r="E9" s="657">
        <f aca="true" t="shared" si="5" ref="E9:E18">P68</f>
        <v>521.2450575822686</v>
      </c>
      <c r="F9" s="657">
        <f aca="true" t="shared" si="6" ref="F9:F18">Q68</f>
        <v>506.99153683464016</v>
      </c>
      <c r="G9" s="657">
        <f aca="true" t="shared" si="7" ref="G9:G18">R68</f>
        <v>469.6858835248096</v>
      </c>
      <c r="H9" s="657">
        <f aca="true" t="shared" si="8" ref="H9:H18">S68</f>
        <v>397.08025741447034</v>
      </c>
      <c r="I9" s="657">
        <f aca="true" t="shared" si="9" ref="I9:I18">T68</f>
        <v>291.9777688373892</v>
      </c>
      <c r="J9" s="657">
        <f aca="true" t="shared" si="10" ref="J9:J18">U68</f>
        <v>178.80559610612036</v>
      </c>
      <c r="K9" s="657">
        <f aca="true" t="shared" si="11" ref="K9:K18">V68</f>
        <v>88.15767949780852</v>
      </c>
      <c r="L9" s="657">
        <f aca="true" t="shared" si="12" ref="L9:L18">W68</f>
        <v>34.151269268335035</v>
      </c>
      <c r="M9" s="658">
        <f aca="true" t="shared" si="13" ref="M9:M18">X68</f>
        <v>10.22077214032411</v>
      </c>
      <c r="N9" s="277"/>
    </row>
    <row r="10" spans="1:14" s="149" customFormat="1" ht="10.5" customHeight="1">
      <c r="A10" s="275"/>
      <c r="B10" s="655">
        <f t="shared" si="2"/>
        <v>-7</v>
      </c>
      <c r="C10" s="656">
        <f t="shared" si="3"/>
        <v>472.1210431544005</v>
      </c>
      <c r="D10" s="657">
        <f t="shared" si="4"/>
        <v>471.473844489047</v>
      </c>
      <c r="E10" s="657">
        <f t="shared" si="5"/>
        <v>467.8528242940598</v>
      </c>
      <c r="F10" s="657">
        <f t="shared" si="6"/>
        <v>455.0593218120541</v>
      </c>
      <c r="G10" s="657">
        <f t="shared" si="7"/>
        <v>421.574965444062</v>
      </c>
      <c r="H10" s="657">
        <f t="shared" si="8"/>
        <v>356.4064871223286</v>
      </c>
      <c r="I10" s="657">
        <f t="shared" si="9"/>
        <v>262.06986866266936</v>
      </c>
      <c r="J10" s="657">
        <f t="shared" si="10"/>
        <v>160.49016085802992</v>
      </c>
      <c r="K10" s="657">
        <f t="shared" si="11"/>
        <v>79.12750199986412</v>
      </c>
      <c r="L10" s="657">
        <f t="shared" si="12"/>
        <v>30.65308255300951</v>
      </c>
      <c r="M10" s="658">
        <f t="shared" si="13"/>
        <v>9.17383684076843</v>
      </c>
      <c r="N10" s="277"/>
    </row>
    <row r="11" spans="1:14" s="149" customFormat="1" ht="10.5" customHeight="1">
      <c r="A11" s="275"/>
      <c r="B11" s="655">
        <f t="shared" si="2"/>
        <v>-10.5</v>
      </c>
      <c r="C11" s="656">
        <f t="shared" si="3"/>
        <v>394.29352767150164</v>
      </c>
      <c r="D11" s="657">
        <f t="shared" si="4"/>
        <v>393.75301746004925</v>
      </c>
      <c r="E11" s="657">
        <f t="shared" si="5"/>
        <v>390.72890987756995</v>
      </c>
      <c r="F11" s="657">
        <f t="shared" si="6"/>
        <v>380.0443718802784</v>
      </c>
      <c r="G11" s="657">
        <f t="shared" si="7"/>
        <v>352.07979545315317</v>
      </c>
      <c r="H11" s="657">
        <f t="shared" si="8"/>
        <v>297.65411461762073</v>
      </c>
      <c r="I11" s="657">
        <f t="shared" si="9"/>
        <v>218.8685603187944</v>
      </c>
      <c r="J11" s="657">
        <f t="shared" si="10"/>
        <v>134.03391481659602</v>
      </c>
      <c r="K11" s="657">
        <f t="shared" si="11"/>
        <v>66.0836079046722</v>
      </c>
      <c r="L11" s="657">
        <f t="shared" si="12"/>
        <v>25.600028274696545</v>
      </c>
      <c r="M11" s="658">
        <f t="shared" si="13"/>
        <v>7.661561675077506</v>
      </c>
      <c r="N11" s="277"/>
    </row>
    <row r="12" spans="1:14" s="149" customFormat="1" ht="10.5" customHeight="1">
      <c r="A12" s="275"/>
      <c r="B12" s="655">
        <f t="shared" si="2"/>
        <v>-14</v>
      </c>
      <c r="C12" s="656">
        <f t="shared" si="3"/>
        <v>306.3845664243248</v>
      </c>
      <c r="D12" s="657">
        <f t="shared" si="4"/>
        <v>305.9645646359066</v>
      </c>
      <c r="E12" s="657">
        <f t="shared" si="5"/>
        <v>303.6146911902274</v>
      </c>
      <c r="F12" s="657">
        <f t="shared" si="6"/>
        <v>295.3123039786582</v>
      </c>
      <c r="G12" s="657">
        <f t="shared" si="7"/>
        <v>273.58251633932656</v>
      </c>
      <c r="H12" s="657">
        <f t="shared" si="8"/>
        <v>231.2912093437019</v>
      </c>
      <c r="I12" s="657">
        <f t="shared" si="9"/>
        <v>170.07113800016037</v>
      </c>
      <c r="J12" s="657">
        <f t="shared" si="10"/>
        <v>104.15063904232021</v>
      </c>
      <c r="K12" s="657">
        <f t="shared" si="11"/>
        <v>51.350063175514485</v>
      </c>
      <c r="L12" s="657">
        <f t="shared" si="12"/>
        <v>19.89242280925287</v>
      </c>
      <c r="M12" s="658">
        <f t="shared" si="13"/>
        <v>5.95339280818103</v>
      </c>
      <c r="N12" s="277"/>
    </row>
    <row r="13" spans="1:14" s="149" customFormat="1" ht="10.5" customHeight="1">
      <c r="A13" s="275"/>
      <c r="B13" s="655">
        <f t="shared" si="2"/>
        <v>-17.5</v>
      </c>
      <c r="C13" s="656">
        <f t="shared" si="3"/>
        <v>221.4979448414281</v>
      </c>
      <c r="D13" s="657">
        <f t="shared" si="4"/>
        <v>221.19430835591555</v>
      </c>
      <c r="E13" s="657">
        <f t="shared" si="5"/>
        <v>219.49548865057005</v>
      </c>
      <c r="F13" s="657">
        <f t="shared" si="6"/>
        <v>213.49335307924534</v>
      </c>
      <c r="G13" s="657">
        <f t="shared" si="7"/>
        <v>197.78400009151434</v>
      </c>
      <c r="H13" s="657">
        <f t="shared" si="8"/>
        <v>167.2098830806222</v>
      </c>
      <c r="I13" s="657">
        <f t="shared" si="9"/>
        <v>122.95138747852951</v>
      </c>
      <c r="J13" s="657">
        <f t="shared" si="10"/>
        <v>75.29476034326706</v>
      </c>
      <c r="K13" s="657">
        <f t="shared" si="11"/>
        <v>37.12306267118468</v>
      </c>
      <c r="L13" s="657">
        <f t="shared" si="12"/>
        <v>14.381046740011126</v>
      </c>
      <c r="M13" s="658">
        <f t="shared" si="13"/>
        <v>4.303951361634721</v>
      </c>
      <c r="N13" s="277"/>
    </row>
    <row r="14" spans="1:14" s="149" customFormat="1" ht="10.5" customHeight="1">
      <c r="A14" s="275"/>
      <c r="B14" s="655">
        <f t="shared" si="2"/>
        <v>-21</v>
      </c>
      <c r="C14" s="656">
        <f t="shared" si="3"/>
        <v>148.9693372431752</v>
      </c>
      <c r="D14" s="657">
        <f t="shared" si="4"/>
        <v>148.76512529871658</v>
      </c>
      <c r="E14" s="657">
        <f t="shared" si="5"/>
        <v>147.6225772458119</v>
      </c>
      <c r="F14" s="657">
        <f t="shared" si="6"/>
        <v>143.5858167298439</v>
      </c>
      <c r="G14" s="657">
        <f t="shared" si="7"/>
        <v>133.02042794135312</v>
      </c>
      <c r="H14" s="657">
        <f t="shared" si="8"/>
        <v>112.4576820830628</v>
      </c>
      <c r="I14" s="657">
        <f t="shared" si="9"/>
        <v>82.69145214380165</v>
      </c>
      <c r="J14" s="657">
        <f t="shared" si="10"/>
        <v>50.63979511977077</v>
      </c>
      <c r="K14" s="657">
        <f t="shared" si="11"/>
        <v>24.967265707690178</v>
      </c>
      <c r="L14" s="657">
        <f t="shared" si="12"/>
        <v>9.672031057698051</v>
      </c>
      <c r="M14" s="658">
        <f t="shared" si="13"/>
        <v>2.8946398682326118</v>
      </c>
      <c r="N14" s="277"/>
    </row>
    <row r="15" spans="1:14" s="149" customFormat="1" ht="10.5" customHeight="1">
      <c r="A15" s="275"/>
      <c r="B15" s="655">
        <f t="shared" si="2"/>
        <v>-24.5</v>
      </c>
      <c r="C15" s="656">
        <f t="shared" si="3"/>
        <v>93.19886116444886</v>
      </c>
      <c r="D15" s="657">
        <f t="shared" si="4"/>
        <v>93.07110117697808</v>
      </c>
      <c r="E15" s="657">
        <f t="shared" si="5"/>
        <v>92.35629516839288</v>
      </c>
      <c r="F15" s="657">
        <f t="shared" si="6"/>
        <v>89.83079905057308</v>
      </c>
      <c r="G15" s="657">
        <f t="shared" si="7"/>
        <v>83.2208333954289</v>
      </c>
      <c r="H15" s="657">
        <f t="shared" si="8"/>
        <v>70.35627662239108</v>
      </c>
      <c r="I15" s="657">
        <f t="shared" si="9"/>
        <v>51.73379509137818</v>
      </c>
      <c r="J15" s="657">
        <f t="shared" si="10"/>
        <v>31.681494474661566</v>
      </c>
      <c r="K15" s="657">
        <f t="shared" si="11"/>
        <v>15.620132125233887</v>
      </c>
      <c r="L15" s="657">
        <f t="shared" si="12"/>
        <v>6.051059207259348</v>
      </c>
      <c r="M15" s="658">
        <f t="shared" si="13"/>
        <v>1.8109575043628594</v>
      </c>
      <c r="N15" s="277"/>
    </row>
    <row r="16" spans="1:14" s="149" customFormat="1" ht="10.5" customHeight="1">
      <c r="A16" s="275"/>
      <c r="B16" s="655">
        <f t="shared" si="2"/>
        <v>-28</v>
      </c>
      <c r="C16" s="656">
        <f t="shared" si="3"/>
        <v>54.23370845241635</v>
      </c>
      <c r="D16" s="657">
        <f t="shared" si="4"/>
        <v>54.15936314576986</v>
      </c>
      <c r="E16" s="657">
        <f t="shared" si="5"/>
        <v>53.74340762672933</v>
      </c>
      <c r="F16" s="657">
        <f t="shared" si="6"/>
        <v>52.27378644852768</v>
      </c>
      <c r="G16" s="657">
        <f t="shared" si="7"/>
        <v>48.42735586190245</v>
      </c>
      <c r="H16" s="657">
        <f t="shared" si="8"/>
        <v>40.94129205509888</v>
      </c>
      <c r="I16" s="657">
        <f t="shared" si="9"/>
        <v>30.104612063576436</v>
      </c>
      <c r="J16" s="657">
        <f t="shared" si="10"/>
        <v>18.43590053792473</v>
      </c>
      <c r="K16" s="657">
        <f t="shared" si="11"/>
        <v>9.089571278917107</v>
      </c>
      <c r="L16" s="657">
        <f t="shared" si="12"/>
        <v>3.5211951817282032</v>
      </c>
      <c r="M16" s="658">
        <f t="shared" si="13"/>
        <v>1.0538212600906263</v>
      </c>
      <c r="N16" s="277"/>
    </row>
    <row r="17" spans="1:14" s="149" customFormat="1" ht="10.5" customHeight="1">
      <c r="A17" s="275"/>
      <c r="B17" s="655">
        <f t="shared" si="2"/>
        <v>-31.5</v>
      </c>
      <c r="C17" s="656">
        <f t="shared" si="3"/>
        <v>29.351254025309608</v>
      </c>
      <c r="D17" s="657">
        <f t="shared" si="4"/>
        <v>29.311018385091764</v>
      </c>
      <c r="E17" s="657">
        <f t="shared" si="5"/>
        <v>29.085903480524617</v>
      </c>
      <c r="F17" s="657">
        <f t="shared" si="6"/>
        <v>28.290545284427495</v>
      </c>
      <c r="G17" s="657">
        <f t="shared" si="7"/>
        <v>26.20885910694966</v>
      </c>
      <c r="H17" s="657">
        <f t="shared" si="8"/>
        <v>22.157405376177206</v>
      </c>
      <c r="I17" s="657">
        <f t="shared" si="9"/>
        <v>16.292599957214676</v>
      </c>
      <c r="J17" s="657">
        <f t="shared" si="10"/>
        <v>9.977499516720982</v>
      </c>
      <c r="K17" s="657">
        <f t="shared" si="11"/>
        <v>4.9192711175694575</v>
      </c>
      <c r="L17" s="657">
        <f t="shared" si="12"/>
        <v>1.905668950193207</v>
      </c>
      <c r="M17" s="658">
        <f t="shared" si="13"/>
        <v>0.570327502669859</v>
      </c>
      <c r="N17" s="277"/>
    </row>
    <row r="18" spans="1:14" s="149" customFormat="1" ht="10.5" customHeight="1" thickBot="1">
      <c r="A18" s="275"/>
      <c r="B18" s="659">
        <f t="shared" si="2"/>
        <v>-35</v>
      </c>
      <c r="C18" s="660">
        <f t="shared" si="3"/>
        <v>14.771777474745084</v>
      </c>
      <c r="D18" s="661">
        <f t="shared" si="4"/>
        <v>14.751527848499496</v>
      </c>
      <c r="E18" s="661">
        <f t="shared" si="5"/>
        <v>14.63823295235479</v>
      </c>
      <c r="F18" s="661">
        <f t="shared" si="6"/>
        <v>14.237948375916236</v>
      </c>
      <c r="G18" s="661">
        <f t="shared" si="7"/>
        <v>13.190285984406854</v>
      </c>
      <c r="H18" s="661">
        <f t="shared" si="8"/>
        <v>11.151287142701822</v>
      </c>
      <c r="I18" s="661">
        <f t="shared" si="9"/>
        <v>8.199672179099606</v>
      </c>
      <c r="J18" s="661">
        <f t="shared" si="10"/>
        <v>5.021434603383161</v>
      </c>
      <c r="K18" s="661">
        <f t="shared" si="11"/>
        <v>2.4757503793199542</v>
      </c>
      <c r="L18" s="661">
        <f t="shared" si="12"/>
        <v>0.959077170894002</v>
      </c>
      <c r="M18" s="662">
        <f t="shared" si="13"/>
        <v>0.28703206172729695</v>
      </c>
      <c r="N18" s="277"/>
    </row>
    <row r="19" spans="1:14" ht="12.75">
      <c r="A19" s="261"/>
      <c r="B19" s="278"/>
      <c r="C19" s="266"/>
      <c r="D19" s="266"/>
      <c r="E19" s="266"/>
      <c r="F19" s="279"/>
      <c r="G19" s="266"/>
      <c r="H19" s="266"/>
      <c r="I19" s="266"/>
      <c r="J19" s="266"/>
      <c r="K19" s="266"/>
      <c r="L19" s="266"/>
      <c r="M19" s="266"/>
      <c r="N19" s="266"/>
    </row>
    <row r="20" spans="1:14" ht="13.5" thickBot="1">
      <c r="A20" s="261"/>
      <c r="B20" s="266"/>
      <c r="C20" s="266"/>
      <c r="D20" s="266"/>
      <c r="E20" s="266"/>
      <c r="F20" s="261"/>
      <c r="G20" s="266"/>
      <c r="H20" s="266"/>
      <c r="I20" s="266" t="s">
        <v>660</v>
      </c>
      <c r="J20" s="266"/>
      <c r="K20" s="266"/>
      <c r="L20" s="266"/>
      <c r="M20" s="266"/>
      <c r="N20" s="266"/>
    </row>
    <row r="21" spans="1:14" ht="30" customHeight="1">
      <c r="A21" s="261"/>
      <c r="B21" s="266"/>
      <c r="C21" s="266"/>
      <c r="D21" s="266"/>
      <c r="E21" s="266"/>
      <c r="F21" s="261"/>
      <c r="G21" s="266"/>
      <c r="H21" s="266"/>
      <c r="I21" s="1354" t="str">
        <f>"Estimation of Groundwater Fow Rate, Average concentration and Mass Lodaing to Surface Water from Ground water Source                @ x = "&amp;X_SWLoad&amp;" ft and t = "&amp;t_SWLoad&amp;" years"</f>
        <v>Estimation of Groundwater Fow Rate, Average concentration and Mass Lodaing to Surface Water from Ground water Source                @ x = 150 ft and t = 15 years</v>
      </c>
      <c r="J21" s="1355"/>
      <c r="K21" s="1355"/>
      <c r="L21" s="1355"/>
      <c r="M21" s="1356"/>
      <c r="N21" s="280"/>
    </row>
    <row r="22" spans="1:14" ht="16.5" thickBot="1">
      <c r="A22" s="261"/>
      <c r="B22" s="261"/>
      <c r="C22" s="261"/>
      <c r="D22" s="261"/>
      <c r="E22" s="261"/>
      <c r="F22" s="261"/>
      <c r="G22" s="266"/>
      <c r="H22" s="266"/>
      <c r="I22" s="1357"/>
      <c r="J22" s="1358"/>
      <c r="K22" s="1358"/>
      <c r="L22" s="1358"/>
      <c r="M22" s="1359"/>
      <c r="N22" s="280"/>
    </row>
    <row r="23" spans="1:14" ht="16.5" thickTop="1">
      <c r="A23" s="261"/>
      <c r="B23" s="261"/>
      <c r="C23" s="261"/>
      <c r="D23" s="261"/>
      <c r="E23" s="261"/>
      <c r="F23" s="261"/>
      <c r="G23" s="266"/>
      <c r="H23" s="266"/>
      <c r="I23" s="287" t="s">
        <v>480</v>
      </c>
      <c r="J23" s="279"/>
      <c r="K23" s="261"/>
      <c r="L23" s="261"/>
      <c r="M23" s="946">
        <v>15</v>
      </c>
      <c r="N23" s="280"/>
    </row>
    <row r="24" spans="1:15" ht="15.75">
      <c r="A24" s="261"/>
      <c r="B24" s="261"/>
      <c r="C24" s="261"/>
      <c r="D24" s="261"/>
      <c r="E24" s="261"/>
      <c r="F24" s="261"/>
      <c r="G24" s="266"/>
      <c r="H24" s="266"/>
      <c r="I24" s="941" t="s">
        <v>481</v>
      </c>
      <c r="J24" s="942"/>
      <c r="K24" s="940"/>
      <c r="L24" s="940"/>
      <c r="M24" s="943">
        <v>150</v>
      </c>
      <c r="N24" s="280"/>
      <c r="O24" s="145"/>
    </row>
    <row r="25" spans="1:14" ht="15.75">
      <c r="A25" s="266"/>
      <c r="B25" s="266"/>
      <c r="C25" s="266"/>
      <c r="D25" s="266"/>
      <c r="E25" s="266"/>
      <c r="F25" s="266"/>
      <c r="G25" s="266"/>
      <c r="H25" s="266"/>
      <c r="I25" s="286" t="s">
        <v>626</v>
      </c>
      <c r="J25" s="261"/>
      <c r="K25" s="261"/>
      <c r="L25" s="261"/>
      <c r="M25" s="945">
        <v>250</v>
      </c>
      <c r="N25" s="280"/>
    </row>
    <row r="26" spans="1:14" ht="15.75">
      <c r="A26" s="266"/>
      <c r="B26" s="266"/>
      <c r="C26" s="266"/>
      <c r="D26" s="266"/>
      <c r="E26" s="266"/>
      <c r="F26" s="266"/>
      <c r="G26" s="266"/>
      <c r="H26" s="266"/>
      <c r="I26" s="939" t="s">
        <v>627</v>
      </c>
      <c r="J26" s="940"/>
      <c r="K26" s="940"/>
      <c r="L26" s="940"/>
      <c r="M26" s="944">
        <v>35</v>
      </c>
      <c r="N26" s="280"/>
    </row>
    <row r="27" spans="1:14" ht="15.75">
      <c r="A27" s="266"/>
      <c r="B27" s="266"/>
      <c r="C27" s="266"/>
      <c r="D27" s="266"/>
      <c r="E27" s="266"/>
      <c r="F27" s="266"/>
      <c r="G27" s="266"/>
      <c r="H27" s="266"/>
      <c r="I27" s="287" t="s">
        <v>482</v>
      </c>
      <c r="J27" s="261"/>
      <c r="K27" s="279"/>
      <c r="L27" s="289"/>
      <c r="M27" s="938">
        <f>J81</f>
        <v>0.33636242325677973</v>
      </c>
      <c r="N27" s="280"/>
    </row>
    <row r="28" spans="1:14" ht="15.75">
      <c r="A28" s="266"/>
      <c r="B28" s="266"/>
      <c r="C28" s="266"/>
      <c r="D28" s="266"/>
      <c r="E28" s="266"/>
      <c r="F28" s="266"/>
      <c r="G28" s="266"/>
      <c r="H28" s="266"/>
      <c r="I28" s="287" t="s">
        <v>567</v>
      </c>
      <c r="J28" s="261"/>
      <c r="K28" s="279"/>
      <c r="L28" s="289"/>
      <c r="M28" s="281">
        <f>N67</f>
        <v>545.2918822133065</v>
      </c>
      <c r="N28" s="280"/>
    </row>
    <row r="29" spans="1:14" ht="15.75">
      <c r="A29" s="266"/>
      <c r="B29" s="266"/>
      <c r="C29" s="266"/>
      <c r="D29" s="266"/>
      <c r="E29" s="266"/>
      <c r="F29" s="266"/>
      <c r="G29" s="266"/>
      <c r="H29" s="266"/>
      <c r="I29" s="286" t="s">
        <v>485</v>
      </c>
      <c r="J29" s="261"/>
      <c r="K29" s="261"/>
      <c r="L29" s="289"/>
      <c r="M29" s="281">
        <f>E81*E82*K*i/30.48*(24*60*60)</f>
        <v>818.503937007874</v>
      </c>
      <c r="N29" s="280"/>
    </row>
    <row r="30" spans="1:14" ht="15">
      <c r="A30" s="266"/>
      <c r="B30" s="266"/>
      <c r="C30" s="266"/>
      <c r="D30" s="266"/>
      <c r="E30" s="266"/>
      <c r="F30" s="266"/>
      <c r="G30" s="266"/>
      <c r="H30" s="266"/>
      <c r="I30" s="286" t="s">
        <v>550</v>
      </c>
      <c r="J30" s="261"/>
      <c r="K30" s="261"/>
      <c r="L30" s="261"/>
      <c r="M30" s="281">
        <f>AVERAGE(D67:X77)</f>
        <v>151.80411679822382</v>
      </c>
      <c r="N30" s="280"/>
    </row>
    <row r="31" spans="1:14" ht="15.75" thickBot="1">
      <c r="A31" s="266"/>
      <c r="B31" s="266"/>
      <c r="C31" s="266"/>
      <c r="D31" s="266"/>
      <c r="E31" s="266"/>
      <c r="F31" s="266"/>
      <c r="G31" s="266"/>
      <c r="H31" s="266"/>
      <c r="I31" s="290" t="s">
        <v>483</v>
      </c>
      <c r="J31" s="288"/>
      <c r="K31" s="291"/>
      <c r="L31" s="288"/>
      <c r="M31" s="663">
        <f>0.001*M29*M30*28.3169</f>
        <v>3518.439026586368</v>
      </c>
      <c r="N31" s="280"/>
    </row>
    <row r="32" spans="1:14" ht="15">
      <c r="A32" s="266"/>
      <c r="B32" s="266"/>
      <c r="C32" s="266"/>
      <c r="D32" s="266"/>
      <c r="E32" s="266"/>
      <c r="F32" s="266"/>
      <c r="G32" s="266"/>
      <c r="H32" s="266"/>
      <c r="I32" s="266"/>
      <c r="J32" s="266"/>
      <c r="K32" s="266"/>
      <c r="L32" s="266"/>
      <c r="M32" s="266"/>
      <c r="N32" s="280"/>
    </row>
    <row r="33" spans="1:14" ht="12.75">
      <c r="A33" s="266"/>
      <c r="B33" s="282"/>
      <c r="C33" s="282"/>
      <c r="D33" s="266"/>
      <c r="E33" s="266"/>
      <c r="F33" s="266"/>
      <c r="G33" s="266"/>
      <c r="H33" s="266"/>
      <c r="I33" s="266"/>
      <c r="J33" s="266"/>
      <c r="K33" s="266"/>
      <c r="L33" s="266"/>
      <c r="M33" s="266"/>
      <c r="N33" s="266"/>
    </row>
    <row r="34" spans="1:14" ht="12.75">
      <c r="A34" s="266"/>
      <c r="B34" s="282"/>
      <c r="C34" s="282"/>
      <c r="D34" s="266"/>
      <c r="E34" s="266"/>
      <c r="F34" s="266"/>
      <c r="G34" s="266"/>
      <c r="H34" s="266"/>
      <c r="I34" s="266"/>
      <c r="J34" s="266"/>
      <c r="K34" s="266"/>
      <c r="L34" s="266"/>
      <c r="M34" s="266"/>
      <c r="N34" s="266"/>
    </row>
    <row r="35" spans="1:14" ht="12.75">
      <c r="A35" s="266"/>
      <c r="B35" s="282"/>
      <c r="C35" s="282"/>
      <c r="D35" s="266"/>
      <c r="E35" s="266"/>
      <c r="F35" s="266"/>
      <c r="G35" s="266"/>
      <c r="H35" s="266"/>
      <c r="I35" s="266"/>
      <c r="J35" s="266"/>
      <c r="K35" s="266"/>
      <c r="L35" s="266"/>
      <c r="M35" s="266"/>
      <c r="N35" s="266"/>
    </row>
    <row r="36" spans="1:15" ht="12.75">
      <c r="A36" s="266"/>
      <c r="B36" s="282"/>
      <c r="C36" s="282"/>
      <c r="D36" s="266"/>
      <c r="E36" s="266"/>
      <c r="F36" s="266"/>
      <c r="G36" s="266"/>
      <c r="H36" s="266"/>
      <c r="I36" s="266"/>
      <c r="J36" s="266"/>
      <c r="K36" s="266"/>
      <c r="L36" s="261"/>
      <c r="M36" s="261"/>
      <c r="N36" s="261"/>
      <c r="O36" s="109"/>
    </row>
    <row r="37" spans="1:14" ht="3" customHeight="1">
      <c r="A37" s="266"/>
      <c r="B37" s="282"/>
      <c r="C37" s="282"/>
      <c r="D37" s="266"/>
      <c r="E37" s="266"/>
      <c r="F37" s="266"/>
      <c r="G37" s="266"/>
      <c r="H37" s="266"/>
      <c r="I37" s="266"/>
      <c r="J37" s="266"/>
      <c r="K37" s="266"/>
      <c r="L37" s="266"/>
      <c r="M37" s="266"/>
      <c r="N37" s="266"/>
    </row>
    <row r="38" spans="2:3" ht="12.75">
      <c r="B38" s="107"/>
      <c r="C38" s="107"/>
    </row>
    <row r="39" spans="2:3" ht="12.75">
      <c r="B39" s="107"/>
      <c r="C39" s="107"/>
    </row>
    <row r="40" spans="2:3" ht="12.75">
      <c r="B40" s="107"/>
      <c r="C40" s="107"/>
    </row>
    <row r="41" spans="2:3" ht="4.5" customHeight="1">
      <c r="B41" s="107"/>
      <c r="C41" s="107"/>
    </row>
    <row r="42" spans="2:4" ht="12.75" hidden="1">
      <c r="B42" s="110"/>
      <c r="C42" s="110"/>
      <c r="D42" s="111"/>
    </row>
    <row r="43" spans="2:4" ht="12.75" hidden="1">
      <c r="B43" s="110"/>
      <c r="C43" s="110"/>
      <c r="D43" s="111"/>
    </row>
    <row r="44" spans="2:4" ht="12.75" hidden="1">
      <c r="B44" s="110"/>
      <c r="C44" s="110"/>
      <c r="D44" s="111"/>
    </row>
    <row r="45" spans="2:4" ht="12.75" hidden="1">
      <c r="B45" s="110"/>
      <c r="C45" s="110"/>
      <c r="D45" s="111"/>
    </row>
    <row r="46" spans="2:4" ht="12.75" hidden="1">
      <c r="B46" s="110"/>
      <c r="C46" s="110"/>
      <c r="D46" s="111"/>
    </row>
    <row r="47" spans="2:4" ht="12.75" hidden="1">
      <c r="B47" s="110"/>
      <c r="C47" s="110"/>
      <c r="D47" s="111"/>
    </row>
    <row r="48" spans="2:4" ht="12.75" hidden="1">
      <c r="B48" s="110"/>
      <c r="C48" s="110"/>
      <c r="D48" s="111"/>
    </row>
    <row r="49" spans="2:16" s="109" customFormat="1" ht="12.75" hidden="1">
      <c r="B49" s="112"/>
      <c r="C49" s="112"/>
      <c r="D49" s="112"/>
      <c r="E49" s="112"/>
      <c r="F49" s="113"/>
      <c r="G49" s="114"/>
      <c r="H49" s="114"/>
      <c r="I49" s="114"/>
      <c r="J49" s="114"/>
      <c r="K49" s="114"/>
      <c r="L49" s="114"/>
      <c r="M49" s="114"/>
      <c r="N49" s="114"/>
      <c r="O49" s="114"/>
      <c r="P49" s="115"/>
    </row>
    <row r="50" spans="5:16" s="109" customFormat="1" ht="15" customHeight="1" thickBot="1">
      <c r="E50" s="112"/>
      <c r="F50" s="113"/>
      <c r="G50" s="114"/>
      <c r="H50" s="114"/>
      <c r="I50" s="114"/>
      <c r="J50" s="114"/>
      <c r="K50" s="114"/>
      <c r="L50" s="114"/>
      <c r="M50" s="114"/>
      <c r="N50" s="114"/>
      <c r="O50" s="114"/>
      <c r="P50" s="115"/>
    </row>
    <row r="51" spans="2:24" s="121" customFormat="1" ht="13.5" thickBot="1">
      <c r="B51" s="116"/>
      <c r="C51" s="117"/>
      <c r="D51" s="117"/>
      <c r="E51" s="117"/>
      <c r="F51" s="117"/>
      <c r="G51" s="117"/>
      <c r="H51" s="117" t="s">
        <v>438</v>
      </c>
      <c r="I51" s="117"/>
      <c r="J51" s="117"/>
      <c r="K51" s="117"/>
      <c r="L51" s="117"/>
      <c r="M51" s="117"/>
      <c r="N51" s="147"/>
      <c r="O51" s="118"/>
      <c r="P51" s="119"/>
      <c r="Q51" s="119"/>
      <c r="R51" s="119"/>
      <c r="S51" s="119"/>
      <c r="T51" s="119"/>
      <c r="U51" s="119"/>
      <c r="V51" s="119"/>
      <c r="W51" s="119"/>
      <c r="X51" s="120"/>
    </row>
    <row r="52" spans="2:24" s="125" customFormat="1" ht="13.5" thickBot="1">
      <c r="B52" s="122"/>
      <c r="C52" s="116"/>
      <c r="D52" s="123">
        <f>-$E$81*0.5</f>
        <v>-125</v>
      </c>
      <c r="E52" s="123">
        <f>-$E$81*0.45</f>
        <v>-112.5</v>
      </c>
      <c r="F52" s="123">
        <f>-$E$81*0.4</f>
        <v>-100</v>
      </c>
      <c r="G52" s="123">
        <f>-$E$81*0.35</f>
        <v>-87.5</v>
      </c>
      <c r="H52" s="123">
        <f>-$E$81*0.3</f>
        <v>-75</v>
      </c>
      <c r="I52" s="123">
        <f>-$E$81*0.25</f>
        <v>-62.5</v>
      </c>
      <c r="J52" s="123">
        <f>-$E$81*0.2</f>
        <v>-50</v>
      </c>
      <c r="K52" s="123">
        <f>-$E$81*0.15</f>
        <v>-37.5</v>
      </c>
      <c r="L52" s="123">
        <f>-$E$81*0.1</f>
        <v>-25</v>
      </c>
      <c r="M52" s="123">
        <f>-$E$81*0.05</f>
        <v>-12.5</v>
      </c>
      <c r="N52" s="148">
        <v>0</v>
      </c>
      <c r="O52" s="123">
        <f>$E$81*0.05</f>
        <v>12.5</v>
      </c>
      <c r="P52" s="123">
        <f>$E$81*0.1</f>
        <v>25</v>
      </c>
      <c r="Q52" s="123">
        <f>$E$81*0.15</f>
        <v>37.5</v>
      </c>
      <c r="R52" s="123">
        <f>$E$81*0.2</f>
        <v>50</v>
      </c>
      <c r="S52" s="123">
        <f>$E$81*0.25</f>
        <v>62.5</v>
      </c>
      <c r="T52" s="123">
        <f>$E$81*0.3</f>
        <v>75</v>
      </c>
      <c r="U52" s="123">
        <f>$E$81*0.35</f>
        <v>87.5</v>
      </c>
      <c r="V52" s="123">
        <f>$E$81*0.4</f>
        <v>100</v>
      </c>
      <c r="W52" s="123">
        <f>$E$81*0.45</f>
        <v>112.5</v>
      </c>
      <c r="X52" s="124">
        <f>$E$81*0.5</f>
        <v>125</v>
      </c>
    </row>
    <row r="53" spans="2:24" s="125" customFormat="1" ht="12.75">
      <c r="B53" s="1363" t="s">
        <v>439</v>
      </c>
      <c r="C53" s="126">
        <f>0</f>
        <v>0</v>
      </c>
      <c r="D53" s="127">
        <f aca="true" t="shared" si="14" ref="D53:D63">X53</f>
        <v>1.8516392605617376</v>
      </c>
      <c r="E53" s="127">
        <f aca="true" t="shared" si="15" ref="E53:E63">W53</f>
        <v>6.1869915606258115</v>
      </c>
      <c r="F53" s="127">
        <f aca="true" t="shared" si="16" ref="F53:F63">V53</f>
        <v>15.971026282265251</v>
      </c>
      <c r="G53" s="127">
        <f aca="true" t="shared" si="17" ref="G53:G63">U53</f>
        <v>32.39319468360034</v>
      </c>
      <c r="H53" s="127">
        <f aca="true" t="shared" si="18" ref="H53:H63">T53</f>
        <v>52.89595468600137</v>
      </c>
      <c r="I53" s="127">
        <f aca="true" t="shared" si="19" ref="I53:I63">S53</f>
        <v>71.93677582555705</v>
      </c>
      <c r="J53" s="127">
        <f aca="true" t="shared" si="20" ref="J53:J63">R53</f>
        <v>85.09032489189084</v>
      </c>
      <c r="K53" s="127">
        <f aca="true" t="shared" si="21" ref="K53:K63">Q53</f>
        <v>91.84877830040178</v>
      </c>
      <c r="L53" s="127">
        <f aca="true" t="shared" si="22" ref="L53:L63">P53</f>
        <v>94.43100773035003</v>
      </c>
      <c r="M53" s="127">
        <f aca="true" t="shared" si="23" ref="M53:M63">O53</f>
        <v>95.161871301689</v>
      </c>
      <c r="N53" s="126">
        <f>($F$84/8)*source_dec*F90*F94*(F101-F102)*(F103-F104)</f>
        <v>95.29250131821887</v>
      </c>
      <c r="O53" s="146">
        <f aca="true" t="shared" si="24" ref="O53:X53">($F$84/8)*source_dec*G90*G94*(G101-G102)*(G103-G104)</f>
        <v>95.161871301689</v>
      </c>
      <c r="P53" s="128">
        <f t="shared" si="24"/>
        <v>94.43100773035003</v>
      </c>
      <c r="Q53" s="128">
        <f t="shared" si="24"/>
        <v>91.84877830040178</v>
      </c>
      <c r="R53" s="128">
        <f t="shared" si="24"/>
        <v>85.09032489189084</v>
      </c>
      <c r="S53" s="128">
        <f t="shared" si="24"/>
        <v>71.93677582555705</v>
      </c>
      <c r="T53" s="128">
        <f t="shared" si="24"/>
        <v>52.89595468600137</v>
      </c>
      <c r="U53" s="128">
        <f t="shared" si="24"/>
        <v>32.39319468360034</v>
      </c>
      <c r="V53" s="128">
        <f t="shared" si="24"/>
        <v>15.971026282265251</v>
      </c>
      <c r="W53" s="128">
        <f t="shared" si="24"/>
        <v>6.1869915606258115</v>
      </c>
      <c r="X53" s="128">
        <f t="shared" si="24"/>
        <v>1.8516392605617376</v>
      </c>
    </row>
    <row r="54" spans="2:24" s="125" customFormat="1" ht="12.75">
      <c r="B54" s="1363"/>
      <c r="C54" s="126">
        <f>-$E$82*0.1</f>
        <v>-3.5</v>
      </c>
      <c r="D54" s="127">
        <f t="shared" si="14"/>
        <v>1.786131381053746</v>
      </c>
      <c r="E54" s="127">
        <f t="shared" si="15"/>
        <v>5.968106216000163</v>
      </c>
      <c r="F54" s="127">
        <f t="shared" si="16"/>
        <v>15.405998262174448</v>
      </c>
      <c r="G54" s="127">
        <f t="shared" si="17"/>
        <v>31.247177994815917</v>
      </c>
      <c r="H54" s="127">
        <f t="shared" si="18"/>
        <v>51.02458486800586</v>
      </c>
      <c r="I54" s="127">
        <f t="shared" si="19"/>
        <v>69.39177381391015</v>
      </c>
      <c r="J54" s="127">
        <f t="shared" si="20"/>
        <v>82.07997246037952</v>
      </c>
      <c r="K54" s="127">
        <f t="shared" si="21"/>
        <v>88.59932316623402</v>
      </c>
      <c r="L54" s="127">
        <f t="shared" si="22"/>
        <v>91.0901976665467</v>
      </c>
      <c r="M54" s="127">
        <f t="shared" si="23"/>
        <v>91.79520451525735</v>
      </c>
      <c r="N54" s="927">
        <f aca="true" t="shared" si="25" ref="N54:W54">($F$84/8)*source_dec*Q90*Q94*(Q101-Q102)*(Q103-Q104)</f>
        <v>91.92121306173891</v>
      </c>
      <c r="O54" s="126">
        <f t="shared" si="25"/>
        <v>91.79520451525735</v>
      </c>
      <c r="P54" s="126">
        <f t="shared" si="25"/>
        <v>91.0901976665467</v>
      </c>
      <c r="Q54" s="126">
        <f t="shared" si="25"/>
        <v>88.59932316623402</v>
      </c>
      <c r="R54" s="126">
        <f t="shared" si="25"/>
        <v>82.07997246037952</v>
      </c>
      <c r="S54" s="126">
        <f t="shared" si="25"/>
        <v>69.39177381391015</v>
      </c>
      <c r="T54" s="126">
        <f t="shared" si="25"/>
        <v>51.02458486800586</v>
      </c>
      <c r="U54" s="126">
        <f t="shared" si="25"/>
        <v>31.247177994815917</v>
      </c>
      <c r="V54" s="126">
        <f t="shared" si="25"/>
        <v>15.405998262174448</v>
      </c>
      <c r="W54" s="126">
        <f t="shared" si="25"/>
        <v>5.968106216000163</v>
      </c>
      <c r="X54" s="126">
        <f>($F$84/8)*source_dec*AA90*AA94*(AA101-AA102)*(AA103-AA104)</f>
        <v>1.786131381053746</v>
      </c>
    </row>
    <row r="55" spans="2:24" s="125" customFormat="1" ht="12.75">
      <c r="B55" s="1363"/>
      <c r="C55" s="126">
        <f>-$E$82*0.2</f>
        <v>-7</v>
      </c>
      <c r="D55" s="127">
        <f t="shared" si="14"/>
        <v>1.6031741673720403</v>
      </c>
      <c r="E55" s="127">
        <f t="shared" si="15"/>
        <v>5.356780478253102</v>
      </c>
      <c r="F55" s="127">
        <f t="shared" si="16"/>
        <v>13.827929288116248</v>
      </c>
      <c r="G55" s="127">
        <f t="shared" si="17"/>
        <v>28.046463488599084</v>
      </c>
      <c r="H55" s="127">
        <f t="shared" si="18"/>
        <v>45.7980287614732</v>
      </c>
      <c r="I55" s="127">
        <f t="shared" si="19"/>
        <v>62.28382771090054</v>
      </c>
      <c r="J55" s="127">
        <f t="shared" si="20"/>
        <v>73.6723473440442</v>
      </c>
      <c r="K55" s="127">
        <f t="shared" si="21"/>
        <v>79.52390717358962</v>
      </c>
      <c r="L55" s="127">
        <f t="shared" si="22"/>
        <v>81.7596361325149</v>
      </c>
      <c r="M55" s="127">
        <f t="shared" si="23"/>
        <v>82.3924276391545</v>
      </c>
      <c r="N55" s="126">
        <f aca="true" t="shared" si="26" ref="N55:X55">($F$84/8)*source_dec*AB90*AB94*(AB101-AB102)*(AB103-AB104)</f>
        <v>82.50552886380694</v>
      </c>
      <c r="O55" s="146">
        <f t="shared" si="26"/>
        <v>82.3924276391545</v>
      </c>
      <c r="P55" s="128">
        <f t="shared" si="26"/>
        <v>81.7596361325149</v>
      </c>
      <c r="Q55" s="128">
        <f t="shared" si="26"/>
        <v>79.52390717358962</v>
      </c>
      <c r="R55" s="128">
        <f t="shared" si="26"/>
        <v>73.6723473440442</v>
      </c>
      <c r="S55" s="128">
        <f t="shared" si="26"/>
        <v>62.28382771090054</v>
      </c>
      <c r="T55" s="128">
        <f t="shared" si="26"/>
        <v>45.7980287614732</v>
      </c>
      <c r="U55" s="128">
        <f t="shared" si="26"/>
        <v>28.046463488599084</v>
      </c>
      <c r="V55" s="128">
        <f t="shared" si="26"/>
        <v>13.827929288116248</v>
      </c>
      <c r="W55" s="128">
        <f t="shared" si="26"/>
        <v>5.356780478253102</v>
      </c>
      <c r="X55" s="128">
        <f t="shared" si="26"/>
        <v>1.6031741673720403</v>
      </c>
    </row>
    <row r="56" spans="2:24" s="125" customFormat="1" ht="12.75">
      <c r="B56" s="1363"/>
      <c r="C56" s="126">
        <f>-$E$82*0.3</f>
        <v>-10.5</v>
      </c>
      <c r="D56" s="127">
        <f t="shared" si="14"/>
        <v>1.338896469645853</v>
      </c>
      <c r="E56" s="127">
        <f t="shared" si="15"/>
        <v>4.473733806949805</v>
      </c>
      <c r="F56" s="127">
        <f t="shared" si="16"/>
        <v>11.548443134360243</v>
      </c>
      <c r="G56" s="127">
        <f t="shared" si="17"/>
        <v>23.4231013168654</v>
      </c>
      <c r="H56" s="127">
        <f t="shared" si="18"/>
        <v>38.248382660750394</v>
      </c>
      <c r="I56" s="127">
        <f t="shared" si="19"/>
        <v>52.01655486680695</v>
      </c>
      <c r="J56" s="127">
        <f t="shared" si="20"/>
        <v>61.52771656192301</v>
      </c>
      <c r="K56" s="127">
        <f t="shared" si="21"/>
        <v>66.41466706122064</v>
      </c>
      <c r="L56" s="127">
        <f t="shared" si="22"/>
        <v>68.2818438602935</v>
      </c>
      <c r="M56" s="127">
        <f t="shared" si="23"/>
        <v>68.81032188314643</v>
      </c>
      <c r="N56" s="126">
        <f aca="true" t="shared" si="27" ref="N56:X56">($F$84/8)*source_dec*AM90*AM94*(AM101-AM102)*(AM103-AM104)</f>
        <v>68.90477876342912</v>
      </c>
      <c r="O56" s="146">
        <f t="shared" si="27"/>
        <v>68.81032188314643</v>
      </c>
      <c r="P56" s="128">
        <f t="shared" si="27"/>
        <v>68.2818438602935</v>
      </c>
      <c r="Q56" s="128">
        <f t="shared" si="27"/>
        <v>66.41466706122064</v>
      </c>
      <c r="R56" s="128">
        <f t="shared" si="27"/>
        <v>61.52771656192301</v>
      </c>
      <c r="S56" s="128">
        <f t="shared" si="27"/>
        <v>52.01655486680695</v>
      </c>
      <c r="T56" s="128">
        <f t="shared" si="27"/>
        <v>38.248382660750394</v>
      </c>
      <c r="U56" s="128">
        <f t="shared" si="27"/>
        <v>23.4231013168654</v>
      </c>
      <c r="V56" s="128">
        <f t="shared" si="27"/>
        <v>11.548443134360243</v>
      </c>
      <c r="W56" s="128">
        <f t="shared" si="27"/>
        <v>4.473733806949805</v>
      </c>
      <c r="X56" s="128">
        <f t="shared" si="27"/>
        <v>1.338896469645853</v>
      </c>
    </row>
    <row r="57" spans="2:24" s="125" customFormat="1" ht="12.75">
      <c r="B57" s="1363"/>
      <c r="C57" s="126">
        <f>-$E$82*0.4</f>
        <v>-14</v>
      </c>
      <c r="D57" s="127">
        <f t="shared" si="14"/>
        <v>1.0403853615402703</v>
      </c>
      <c r="E57" s="127">
        <f t="shared" si="15"/>
        <v>3.476301020802247</v>
      </c>
      <c r="F57" s="127">
        <f t="shared" si="16"/>
        <v>8.97368202692075</v>
      </c>
      <c r="G57" s="127">
        <f t="shared" si="17"/>
        <v>18.200848448265134</v>
      </c>
      <c r="H57" s="127">
        <f t="shared" si="18"/>
        <v>29.72078747310532</v>
      </c>
      <c r="I57" s="127">
        <f t="shared" si="19"/>
        <v>40.419303111238044</v>
      </c>
      <c r="J57" s="127">
        <f t="shared" si="20"/>
        <v>47.80992189557068</v>
      </c>
      <c r="K57" s="127">
        <f t="shared" si="21"/>
        <v>51.607311669393894</v>
      </c>
      <c r="L57" s="127">
        <f t="shared" si="22"/>
        <v>53.058195627342386</v>
      </c>
      <c r="M57" s="127">
        <f t="shared" si="23"/>
        <v>53.46884784081589</v>
      </c>
      <c r="N57" s="126">
        <f aca="true" t="shared" si="28" ref="N57:X57">($F$84/8)*source_dec*AX90*AX94*(AX101-AX102)*(AX103-AX104)</f>
        <v>53.54224526755559</v>
      </c>
      <c r="O57" s="146">
        <f t="shared" si="28"/>
        <v>53.46884784081589</v>
      </c>
      <c r="P57" s="128">
        <f t="shared" si="28"/>
        <v>53.058195627342386</v>
      </c>
      <c r="Q57" s="128">
        <f t="shared" si="28"/>
        <v>51.607311669393894</v>
      </c>
      <c r="R57" s="128">
        <f t="shared" si="28"/>
        <v>47.80992189557068</v>
      </c>
      <c r="S57" s="128">
        <f t="shared" si="28"/>
        <v>40.419303111238044</v>
      </c>
      <c r="T57" s="128">
        <f t="shared" si="28"/>
        <v>29.72078747310532</v>
      </c>
      <c r="U57" s="128">
        <f t="shared" si="28"/>
        <v>18.200848448265134</v>
      </c>
      <c r="V57" s="128">
        <f t="shared" si="28"/>
        <v>8.97368202692075</v>
      </c>
      <c r="W57" s="128">
        <f t="shared" si="28"/>
        <v>3.476301020802247</v>
      </c>
      <c r="X57" s="128">
        <f t="shared" si="28"/>
        <v>1.0403853615402703</v>
      </c>
    </row>
    <row r="58" spans="2:24" s="125" customFormat="1" ht="12.75">
      <c r="B58" s="1363"/>
      <c r="C58" s="126">
        <f>-$E$82*0.5</f>
        <v>-17.5</v>
      </c>
      <c r="D58" s="127">
        <f t="shared" si="14"/>
        <v>0.7521371657641709</v>
      </c>
      <c r="E58" s="127">
        <f t="shared" si="15"/>
        <v>2.5131603094245287</v>
      </c>
      <c r="F58" s="127">
        <f t="shared" si="16"/>
        <v>6.487442072622628</v>
      </c>
      <c r="G58" s="127">
        <f t="shared" si="17"/>
        <v>13.158138390292473</v>
      </c>
      <c r="H58" s="127">
        <f t="shared" si="18"/>
        <v>21.486373877085203</v>
      </c>
      <c r="I58" s="127">
        <f t="shared" si="19"/>
        <v>29.22076877287242</v>
      </c>
      <c r="J58" s="127">
        <f t="shared" si="20"/>
        <v>34.56374962514216</v>
      </c>
      <c r="K58" s="127">
        <f t="shared" si="21"/>
        <v>37.309038137810916</v>
      </c>
      <c r="L58" s="127">
        <f t="shared" si="22"/>
        <v>38.35794154257287</v>
      </c>
      <c r="M58" s="127">
        <f t="shared" si="23"/>
        <v>38.65481883763541</v>
      </c>
      <c r="N58" s="126">
        <f aca="true" t="shared" si="29" ref="N58:X58">($F$84/8)*source_dec*BI90*BI94*(BI101-BI102)*(BI103-BI104)</f>
        <v>38.70788084193029</v>
      </c>
      <c r="O58" s="146">
        <f t="shared" si="29"/>
        <v>38.65481883763541</v>
      </c>
      <c r="P58" s="128">
        <f t="shared" si="29"/>
        <v>38.35794154257287</v>
      </c>
      <c r="Q58" s="128">
        <f t="shared" si="29"/>
        <v>37.309038137810916</v>
      </c>
      <c r="R58" s="128">
        <f t="shared" si="29"/>
        <v>34.56374962514216</v>
      </c>
      <c r="S58" s="128">
        <f t="shared" si="29"/>
        <v>29.22076877287242</v>
      </c>
      <c r="T58" s="128">
        <f t="shared" si="29"/>
        <v>21.486373877085203</v>
      </c>
      <c r="U58" s="128">
        <f t="shared" si="29"/>
        <v>13.158138390292473</v>
      </c>
      <c r="V58" s="128">
        <f t="shared" si="29"/>
        <v>6.487442072622628</v>
      </c>
      <c r="W58" s="128">
        <f t="shared" si="29"/>
        <v>2.5131603094245287</v>
      </c>
      <c r="X58" s="128">
        <f t="shared" si="29"/>
        <v>0.7521371657641709</v>
      </c>
    </row>
    <row r="59" spans="2:24" s="125" customFormat="1" ht="12.75">
      <c r="B59" s="1363"/>
      <c r="C59" s="126">
        <f>-$E$82*0.6</f>
        <v>-21</v>
      </c>
      <c r="D59" s="127">
        <f t="shared" si="14"/>
        <v>0.5058528880710961</v>
      </c>
      <c r="E59" s="127">
        <f t="shared" si="15"/>
        <v>1.6902361146007432</v>
      </c>
      <c r="F59" s="127">
        <f t="shared" si="16"/>
        <v>4.363155363152274</v>
      </c>
      <c r="G59" s="127">
        <f t="shared" si="17"/>
        <v>8.849559108817653</v>
      </c>
      <c r="H59" s="127">
        <f t="shared" si="18"/>
        <v>14.450747516054554</v>
      </c>
      <c r="I59" s="127">
        <f t="shared" si="19"/>
        <v>19.65254603579828</v>
      </c>
      <c r="J59" s="127">
        <f t="shared" si="20"/>
        <v>23.245989383705716</v>
      </c>
      <c r="K59" s="127">
        <f t="shared" si="21"/>
        <v>25.092344258764932</v>
      </c>
      <c r="L59" s="127">
        <f t="shared" si="22"/>
        <v>25.797788479258088</v>
      </c>
      <c r="M59" s="127">
        <f t="shared" si="23"/>
        <v>25.997454502884967</v>
      </c>
      <c r="N59" s="126">
        <f aca="true" t="shared" si="30" ref="N59:X59">($F$84/8)*source_dec*BT90*BT94*(BT101-BT102)*(BT103-BT104)</f>
        <v>26.03314156814538</v>
      </c>
      <c r="O59" s="146">
        <f t="shared" si="30"/>
        <v>25.997454502884967</v>
      </c>
      <c r="P59" s="128">
        <f t="shared" si="30"/>
        <v>25.797788479258088</v>
      </c>
      <c r="Q59" s="128">
        <f t="shared" si="30"/>
        <v>25.092344258764932</v>
      </c>
      <c r="R59" s="128">
        <f t="shared" si="30"/>
        <v>23.245989383705716</v>
      </c>
      <c r="S59" s="128">
        <f t="shared" si="30"/>
        <v>19.65254603579828</v>
      </c>
      <c r="T59" s="128">
        <f t="shared" si="30"/>
        <v>14.450747516054554</v>
      </c>
      <c r="U59" s="128">
        <f t="shared" si="30"/>
        <v>8.849559108817653</v>
      </c>
      <c r="V59" s="128">
        <f t="shared" si="30"/>
        <v>4.363155363152274</v>
      </c>
      <c r="W59" s="128">
        <f t="shared" si="30"/>
        <v>1.6902361146007432</v>
      </c>
      <c r="X59" s="128">
        <f t="shared" si="30"/>
        <v>0.5058528880710961</v>
      </c>
    </row>
    <row r="60" spans="2:24" s="125" customFormat="1" ht="12.75">
      <c r="B60" s="1363"/>
      <c r="C60" s="126">
        <f>-$E$82*0.7</f>
        <v>-24.5</v>
      </c>
      <c r="D60" s="127">
        <f t="shared" si="14"/>
        <v>0.3164739399223812</v>
      </c>
      <c r="E60" s="127">
        <f t="shared" si="15"/>
        <v>1.0574530564143263</v>
      </c>
      <c r="F60" s="127">
        <f t="shared" si="16"/>
        <v>2.7296967178255933</v>
      </c>
      <c r="G60" s="127">
        <f t="shared" si="17"/>
        <v>5.536500638402791</v>
      </c>
      <c r="H60" s="127">
        <f t="shared" si="18"/>
        <v>9.040741110855508</v>
      </c>
      <c r="I60" s="127">
        <f t="shared" si="19"/>
        <v>12.295113500628906</v>
      </c>
      <c r="J60" s="127">
        <f t="shared" si="20"/>
        <v>14.543259554586601</v>
      </c>
      <c r="K60" s="127">
        <f t="shared" si="21"/>
        <v>15.698384326203522</v>
      </c>
      <c r="L60" s="127">
        <f t="shared" si="22"/>
        <v>16.13972748568661</v>
      </c>
      <c r="M60" s="127">
        <f t="shared" si="23"/>
        <v>16.264643433891994</v>
      </c>
      <c r="N60" s="126">
        <f aca="true" t="shared" si="31" ref="N60:X60">($F$84/8)*source_dec*CE90*CE94*(CE101-CE102)*(CE103-CE104)</f>
        <v>16.28697013482336</v>
      </c>
      <c r="O60" s="146">
        <f t="shared" si="31"/>
        <v>16.264643433891994</v>
      </c>
      <c r="P60" s="128">
        <f t="shared" si="31"/>
        <v>16.13972748568661</v>
      </c>
      <c r="Q60" s="128">
        <f t="shared" si="31"/>
        <v>15.698384326203522</v>
      </c>
      <c r="R60" s="128">
        <f t="shared" si="31"/>
        <v>14.543259554586601</v>
      </c>
      <c r="S60" s="128">
        <f t="shared" si="31"/>
        <v>12.295113500628906</v>
      </c>
      <c r="T60" s="128">
        <f t="shared" si="31"/>
        <v>9.040741110855508</v>
      </c>
      <c r="U60" s="128">
        <f t="shared" si="31"/>
        <v>5.536500638402791</v>
      </c>
      <c r="V60" s="128">
        <f t="shared" si="31"/>
        <v>2.7296967178255933</v>
      </c>
      <c r="W60" s="128">
        <f t="shared" si="31"/>
        <v>1.0574530564143263</v>
      </c>
      <c r="X60" s="128">
        <f t="shared" si="31"/>
        <v>0.3164739399223812</v>
      </c>
    </row>
    <row r="61" spans="2:24" s="125" customFormat="1" ht="12.75">
      <c r="B61" s="1363"/>
      <c r="C61" s="126">
        <f>-$E$82*0.8</f>
        <v>-28</v>
      </c>
      <c r="D61" s="127">
        <f t="shared" si="14"/>
        <v>0.18416056994787686</v>
      </c>
      <c r="E61" s="127">
        <f t="shared" si="15"/>
        <v>0.6153465830714188</v>
      </c>
      <c r="F61" s="127">
        <f t="shared" si="16"/>
        <v>1.5884483362608106</v>
      </c>
      <c r="G61" s="127">
        <f t="shared" si="17"/>
        <v>3.2217664220160174</v>
      </c>
      <c r="H61" s="127">
        <f t="shared" si="18"/>
        <v>5.26093249932269</v>
      </c>
      <c r="I61" s="127">
        <f t="shared" si="19"/>
        <v>7.1546968777429</v>
      </c>
      <c r="J61" s="127">
        <f t="shared" si="20"/>
        <v>8.46292421148312</v>
      </c>
      <c r="K61" s="127">
        <f t="shared" si="21"/>
        <v>9.135107318736935</v>
      </c>
      <c r="L61" s="127">
        <f t="shared" si="22"/>
        <v>9.391931017436855</v>
      </c>
      <c r="M61" s="127">
        <f t="shared" si="23"/>
        <v>9.464621338234597</v>
      </c>
      <c r="N61" s="126">
        <f aca="true" t="shared" si="32" ref="N61:X61">($F$84/8)*source_dec*CP90*CP94*(CP101-CP102)*(CP103-CP104)</f>
        <v>9.477613554812</v>
      </c>
      <c r="O61" s="146">
        <f t="shared" si="32"/>
        <v>9.464621338234597</v>
      </c>
      <c r="P61" s="128">
        <f t="shared" si="32"/>
        <v>9.391931017436855</v>
      </c>
      <c r="Q61" s="128">
        <f t="shared" si="32"/>
        <v>9.135107318736935</v>
      </c>
      <c r="R61" s="128">
        <f t="shared" si="32"/>
        <v>8.46292421148312</v>
      </c>
      <c r="S61" s="128">
        <f t="shared" si="32"/>
        <v>7.1546968777429</v>
      </c>
      <c r="T61" s="128">
        <f t="shared" si="32"/>
        <v>5.26093249932269</v>
      </c>
      <c r="U61" s="128">
        <f t="shared" si="32"/>
        <v>3.2217664220160174</v>
      </c>
      <c r="V61" s="128">
        <f t="shared" si="32"/>
        <v>1.5884483362608106</v>
      </c>
      <c r="W61" s="128">
        <f t="shared" si="32"/>
        <v>0.6153465830714188</v>
      </c>
      <c r="X61" s="128">
        <f t="shared" si="32"/>
        <v>0.18416056994787686</v>
      </c>
    </row>
    <row r="62" spans="2:24" s="125" customFormat="1" ht="12.75">
      <c r="B62" s="1363"/>
      <c r="C62" s="126">
        <f>-$E$82*0.9</f>
        <v>-31.5</v>
      </c>
      <c r="D62" s="127">
        <f t="shared" si="14"/>
        <v>0.09966760201782035</v>
      </c>
      <c r="E62" s="127">
        <f t="shared" si="15"/>
        <v>0.33302524184164994</v>
      </c>
      <c r="F62" s="127">
        <f t="shared" si="16"/>
        <v>0.8596673905229545</v>
      </c>
      <c r="G62" s="127">
        <f t="shared" si="17"/>
        <v>1.743618265488385</v>
      </c>
      <c r="H62" s="127">
        <f t="shared" si="18"/>
        <v>2.8472138565465808</v>
      </c>
      <c r="I62" s="127">
        <f t="shared" si="19"/>
        <v>3.872118125887904</v>
      </c>
      <c r="J62" s="127">
        <f t="shared" si="20"/>
        <v>4.580130059631149</v>
      </c>
      <c r="K62" s="127">
        <f t="shared" si="21"/>
        <v>4.94391519797991</v>
      </c>
      <c r="L62" s="127">
        <f t="shared" si="22"/>
        <v>5.082908046438258</v>
      </c>
      <c r="M62" s="127">
        <f t="shared" si="23"/>
        <v>5.122248009199383</v>
      </c>
      <c r="N62" s="126">
        <f aca="true" t="shared" si="33" ref="N62:X62">($F$84/8)*source_dec*DA90*DA94*(DA101-DA102)*(DA103-DA104)</f>
        <v>5.129279389866442</v>
      </c>
      <c r="O62" s="146">
        <f t="shared" si="33"/>
        <v>5.122248009199383</v>
      </c>
      <c r="P62" s="128">
        <f t="shared" si="33"/>
        <v>5.082908046438258</v>
      </c>
      <c r="Q62" s="128">
        <f t="shared" si="33"/>
        <v>4.94391519797991</v>
      </c>
      <c r="R62" s="128">
        <f t="shared" si="33"/>
        <v>4.580130059631149</v>
      </c>
      <c r="S62" s="128">
        <f t="shared" si="33"/>
        <v>3.872118125887904</v>
      </c>
      <c r="T62" s="128">
        <f t="shared" si="33"/>
        <v>2.8472138565465808</v>
      </c>
      <c r="U62" s="128">
        <f t="shared" si="33"/>
        <v>1.743618265488385</v>
      </c>
      <c r="V62" s="128">
        <f t="shared" si="33"/>
        <v>0.8596673905229545</v>
      </c>
      <c r="W62" s="128">
        <f t="shared" si="33"/>
        <v>0.33302524184164994</v>
      </c>
      <c r="X62" s="128">
        <f t="shared" si="33"/>
        <v>0.09966760201782035</v>
      </c>
    </row>
    <row r="63" spans="2:24" s="125" customFormat="1" ht="13.5" thickBot="1">
      <c r="B63" s="1364"/>
      <c r="C63" s="129">
        <f>-$E$82</f>
        <v>-35</v>
      </c>
      <c r="D63" s="130">
        <f t="shared" si="14"/>
        <v>0.0501602976547155</v>
      </c>
      <c r="E63" s="130">
        <f t="shared" si="15"/>
        <v>0.16760356343603033</v>
      </c>
      <c r="F63" s="130">
        <f t="shared" si="16"/>
        <v>0.4326498412691215</v>
      </c>
      <c r="G63" s="130">
        <f t="shared" si="17"/>
        <v>0.8775209739415464</v>
      </c>
      <c r="H63" s="130">
        <f t="shared" si="18"/>
        <v>1.4329339889753898</v>
      </c>
      <c r="I63" s="130">
        <f t="shared" si="19"/>
        <v>1.948743561764726</v>
      </c>
      <c r="J63" s="130">
        <f t="shared" si="20"/>
        <v>2.3050688733068063</v>
      </c>
      <c r="K63" s="130">
        <f t="shared" si="21"/>
        <v>2.4881531499674714</v>
      </c>
      <c r="L63" s="130">
        <f t="shared" si="22"/>
        <v>2.5581048946608065</v>
      </c>
      <c r="M63" s="130">
        <f t="shared" si="23"/>
        <v>2.577903748068262</v>
      </c>
      <c r="N63" s="129">
        <f aca="true" t="shared" si="34" ref="N63:X63">($F$84/8)*source_dec*DL90*DL94*(DL101-DL102)*(DL103-DL104)</f>
        <v>2.5814424721876628</v>
      </c>
      <c r="O63" s="146">
        <f t="shared" si="34"/>
        <v>2.577903748068262</v>
      </c>
      <c r="P63" s="128">
        <f t="shared" si="34"/>
        <v>2.5581048946608065</v>
      </c>
      <c r="Q63" s="128">
        <f t="shared" si="34"/>
        <v>2.4881531499674714</v>
      </c>
      <c r="R63" s="128">
        <f t="shared" si="34"/>
        <v>2.3050688733068063</v>
      </c>
      <c r="S63" s="128">
        <f t="shared" si="34"/>
        <v>1.948743561764726</v>
      </c>
      <c r="T63" s="128">
        <f t="shared" si="34"/>
        <v>1.4329339889753898</v>
      </c>
      <c r="U63" s="128">
        <f t="shared" si="34"/>
        <v>0.8775209739415464</v>
      </c>
      <c r="V63" s="128">
        <f t="shared" si="34"/>
        <v>0.4326498412691215</v>
      </c>
      <c r="W63" s="128">
        <f t="shared" si="34"/>
        <v>0.16760356343603033</v>
      </c>
      <c r="X63" s="128">
        <f t="shared" si="34"/>
        <v>0.0501602976547155</v>
      </c>
    </row>
    <row r="64" spans="2:24" s="125" customFormat="1" ht="12.75">
      <c r="B64" s="928"/>
      <c r="C64" s="127"/>
      <c r="D64" s="127"/>
      <c r="E64" s="127"/>
      <c r="F64" s="127"/>
      <c r="G64" s="127"/>
      <c r="H64" s="127"/>
      <c r="I64" s="127"/>
      <c r="J64" s="127"/>
      <c r="K64" s="127"/>
      <c r="L64" s="127"/>
      <c r="M64" s="127"/>
      <c r="N64" s="127"/>
      <c r="O64" s="127"/>
      <c r="P64" s="127"/>
      <c r="Q64" s="127"/>
      <c r="R64" s="127"/>
      <c r="S64" s="127"/>
      <c r="T64" s="127"/>
      <c r="U64" s="127"/>
      <c r="V64" s="127"/>
      <c r="W64" s="127"/>
      <c r="X64" s="127"/>
    </row>
    <row r="65" spans="2:24" s="125" customFormat="1" ht="13.5" thickBot="1">
      <c r="B65" s="928"/>
      <c r="C65" s="127"/>
      <c r="D65" s="127"/>
      <c r="E65" s="127"/>
      <c r="F65" s="127"/>
      <c r="G65" s="127"/>
      <c r="H65" s="127"/>
      <c r="I65" s="127"/>
      <c r="J65" s="127"/>
      <c r="K65" s="127"/>
      <c r="L65" s="127"/>
      <c r="M65" s="127"/>
      <c r="N65" s="127"/>
      <c r="O65" s="127"/>
      <c r="P65" s="127"/>
      <c r="Q65" s="127"/>
      <c r="R65" s="127"/>
      <c r="S65" s="127"/>
      <c r="T65" s="127"/>
      <c r="U65" s="127"/>
      <c r="V65" s="127"/>
      <c r="W65" s="127"/>
      <c r="X65" s="127"/>
    </row>
    <row r="66" spans="2:24" s="125" customFormat="1" ht="13.5" thickBot="1">
      <c r="B66" s="937"/>
      <c r="C66" s="116"/>
      <c r="D66" s="123">
        <f>D52</f>
        <v>-125</v>
      </c>
      <c r="E66" s="123">
        <f aca="true" t="shared" si="35" ref="E66:X66">E52</f>
        <v>-112.5</v>
      </c>
      <c r="F66" s="123">
        <f t="shared" si="35"/>
        <v>-100</v>
      </c>
      <c r="G66" s="123">
        <f t="shared" si="35"/>
        <v>-87.5</v>
      </c>
      <c r="H66" s="123">
        <f t="shared" si="35"/>
        <v>-75</v>
      </c>
      <c r="I66" s="123">
        <f t="shared" si="35"/>
        <v>-62.5</v>
      </c>
      <c r="J66" s="123">
        <f t="shared" si="35"/>
        <v>-50</v>
      </c>
      <c r="K66" s="123">
        <f t="shared" si="35"/>
        <v>-37.5</v>
      </c>
      <c r="L66" s="123">
        <f t="shared" si="35"/>
        <v>-25</v>
      </c>
      <c r="M66" s="123">
        <f t="shared" si="35"/>
        <v>-12.5</v>
      </c>
      <c r="N66" s="116">
        <f t="shared" si="35"/>
        <v>0</v>
      </c>
      <c r="O66" s="123">
        <f t="shared" si="35"/>
        <v>12.5</v>
      </c>
      <c r="P66" s="123">
        <f t="shared" si="35"/>
        <v>25</v>
      </c>
      <c r="Q66" s="123">
        <f t="shared" si="35"/>
        <v>37.5</v>
      </c>
      <c r="R66" s="123">
        <f t="shared" si="35"/>
        <v>50</v>
      </c>
      <c r="S66" s="123">
        <f t="shared" si="35"/>
        <v>62.5</v>
      </c>
      <c r="T66" s="123">
        <f t="shared" si="35"/>
        <v>75</v>
      </c>
      <c r="U66" s="123">
        <f t="shared" si="35"/>
        <v>87.5</v>
      </c>
      <c r="V66" s="123">
        <f t="shared" si="35"/>
        <v>100</v>
      </c>
      <c r="W66" s="123">
        <f t="shared" si="35"/>
        <v>112.5</v>
      </c>
      <c r="X66" s="124">
        <f t="shared" si="35"/>
        <v>125</v>
      </c>
    </row>
    <row r="67" spans="2:24" s="131" customFormat="1" ht="12.75">
      <c r="B67" s="1365" t="s">
        <v>439</v>
      </c>
      <c r="C67" s="935">
        <f>C53</f>
        <v>0</v>
      </c>
      <c r="D67" s="930">
        <f>X67</f>
        <v>10.595627605576608</v>
      </c>
      <c r="E67" s="930">
        <f>W67</f>
        <v>35.403795961503164</v>
      </c>
      <c r="F67" s="930">
        <f>V67</f>
        <v>91.39093697679618</v>
      </c>
      <c r="G67" s="930">
        <f>U67</f>
        <v>185.3634426169207</v>
      </c>
      <c r="H67" s="930">
        <f>T67</f>
        <v>302.6863005293456</v>
      </c>
      <c r="I67" s="930">
        <f>S67</f>
        <v>411.6435117940913</v>
      </c>
      <c r="J67" s="930">
        <f>R67</f>
        <v>486.91201066804126</v>
      </c>
      <c r="K67" s="930">
        <f>Q67</f>
        <v>525.5858803744426</v>
      </c>
      <c r="L67" s="930">
        <f>P67</f>
        <v>540.3621610542936</v>
      </c>
      <c r="M67" s="930">
        <f>O67</f>
        <v>544.5443786154185</v>
      </c>
      <c r="N67" s="935">
        <f aca="true" t="shared" si="36" ref="N67:X67">surface_con*(F101-F102)*(F103-F104)</f>
        <v>545.2918822133065</v>
      </c>
      <c r="O67" s="929">
        <f t="shared" si="36"/>
        <v>544.5443786154185</v>
      </c>
      <c r="P67" s="929">
        <f t="shared" si="36"/>
        <v>540.3621610542936</v>
      </c>
      <c r="Q67" s="929">
        <f t="shared" si="36"/>
        <v>525.5858803744426</v>
      </c>
      <c r="R67" s="929">
        <f t="shared" si="36"/>
        <v>486.91201066804126</v>
      </c>
      <c r="S67" s="929">
        <f t="shared" si="36"/>
        <v>411.6435117940913</v>
      </c>
      <c r="T67" s="929">
        <f t="shared" si="36"/>
        <v>302.6863005293456</v>
      </c>
      <c r="U67" s="929">
        <f t="shared" si="36"/>
        <v>185.3634426169207</v>
      </c>
      <c r="V67" s="929">
        <f t="shared" si="36"/>
        <v>91.39093697679618</v>
      </c>
      <c r="W67" s="929">
        <f t="shared" si="36"/>
        <v>35.403795961503164</v>
      </c>
      <c r="X67" s="931">
        <f t="shared" si="36"/>
        <v>10.595627605576608</v>
      </c>
    </row>
    <row r="68" spans="2:24" s="131" customFormat="1" ht="12.75">
      <c r="B68" s="1365"/>
      <c r="C68" s="935">
        <f aca="true" t="shared" si="37" ref="C68:C77">C54</f>
        <v>-3.5</v>
      </c>
      <c r="D68" s="930">
        <f aca="true" t="shared" si="38" ref="D68:D77">X68</f>
        <v>10.22077214032411</v>
      </c>
      <c r="E68" s="930">
        <f aca="true" t="shared" si="39" ref="E68:E77">W68</f>
        <v>34.151269268335035</v>
      </c>
      <c r="F68" s="930">
        <f aca="true" t="shared" si="40" ref="F68:F77">V68</f>
        <v>88.15767949780852</v>
      </c>
      <c r="G68" s="930">
        <f aca="true" t="shared" si="41" ref="G68:G77">U68</f>
        <v>178.80559610612036</v>
      </c>
      <c r="H68" s="930">
        <f aca="true" t="shared" si="42" ref="H68:H77">T68</f>
        <v>291.9777688373892</v>
      </c>
      <c r="I68" s="930">
        <f aca="true" t="shared" si="43" ref="I68:I77">S68</f>
        <v>397.08025741447034</v>
      </c>
      <c r="J68" s="930">
        <f aca="true" t="shared" si="44" ref="J68:J77">R68</f>
        <v>469.6858835248096</v>
      </c>
      <c r="K68" s="930">
        <f aca="true" t="shared" si="45" ref="K68:K77">Q68</f>
        <v>506.99153683464016</v>
      </c>
      <c r="L68" s="930">
        <f aca="true" t="shared" si="46" ref="L68:L77">P68</f>
        <v>521.2450575822686</v>
      </c>
      <c r="M68" s="930">
        <f aca="true" t="shared" si="47" ref="M68:M77">O68</f>
        <v>525.2793153275127</v>
      </c>
      <c r="N68" s="935">
        <f aca="true" t="shared" si="48" ref="N68:X68">surface_con*(Q101-Q102)*(Q103-Q104)</f>
        <v>526.0003735066492</v>
      </c>
      <c r="O68" s="929">
        <f t="shared" si="48"/>
        <v>525.2793153275127</v>
      </c>
      <c r="P68" s="929">
        <f t="shared" si="48"/>
        <v>521.2450575822686</v>
      </c>
      <c r="Q68" s="929">
        <f t="shared" si="48"/>
        <v>506.99153683464016</v>
      </c>
      <c r="R68" s="929">
        <f t="shared" si="48"/>
        <v>469.6858835248096</v>
      </c>
      <c r="S68" s="929">
        <f t="shared" si="48"/>
        <v>397.08025741447034</v>
      </c>
      <c r="T68" s="929">
        <f t="shared" si="48"/>
        <v>291.9777688373892</v>
      </c>
      <c r="U68" s="929">
        <f t="shared" si="48"/>
        <v>178.80559610612036</v>
      </c>
      <c r="V68" s="929">
        <f t="shared" si="48"/>
        <v>88.15767949780852</v>
      </c>
      <c r="W68" s="929">
        <f t="shared" si="48"/>
        <v>34.151269268335035</v>
      </c>
      <c r="X68" s="931">
        <f t="shared" si="48"/>
        <v>10.22077214032411</v>
      </c>
    </row>
    <row r="69" spans="2:24" s="131" customFormat="1" ht="12.75">
      <c r="B69" s="1365"/>
      <c r="C69" s="935">
        <f t="shared" si="37"/>
        <v>-7</v>
      </c>
      <c r="D69" s="930">
        <f t="shared" si="38"/>
        <v>9.17383684076843</v>
      </c>
      <c r="E69" s="930">
        <f t="shared" si="39"/>
        <v>30.65308255300951</v>
      </c>
      <c r="F69" s="930">
        <f t="shared" si="40"/>
        <v>79.12750199986412</v>
      </c>
      <c r="G69" s="930">
        <f t="shared" si="41"/>
        <v>160.49016085802992</v>
      </c>
      <c r="H69" s="930">
        <f t="shared" si="42"/>
        <v>262.06986866266936</v>
      </c>
      <c r="I69" s="930">
        <f t="shared" si="43"/>
        <v>356.4064871223286</v>
      </c>
      <c r="J69" s="930">
        <f t="shared" si="44"/>
        <v>421.574965444062</v>
      </c>
      <c r="K69" s="930">
        <f t="shared" si="45"/>
        <v>455.0593218120541</v>
      </c>
      <c r="L69" s="930">
        <f t="shared" si="46"/>
        <v>467.8528242940598</v>
      </c>
      <c r="M69" s="930">
        <f t="shared" si="47"/>
        <v>471.473844489047</v>
      </c>
      <c r="N69" s="935">
        <f aca="true" t="shared" si="49" ref="N69:X69">surface_con*(AB101-AB102)*(AB103-AB104)</f>
        <v>472.1210431544005</v>
      </c>
      <c r="O69" s="929">
        <f t="shared" si="49"/>
        <v>471.473844489047</v>
      </c>
      <c r="P69" s="929">
        <f t="shared" si="49"/>
        <v>467.8528242940598</v>
      </c>
      <c r="Q69" s="929">
        <f t="shared" si="49"/>
        <v>455.0593218120541</v>
      </c>
      <c r="R69" s="929">
        <f t="shared" si="49"/>
        <v>421.574965444062</v>
      </c>
      <c r="S69" s="929">
        <f t="shared" si="49"/>
        <v>356.4064871223286</v>
      </c>
      <c r="T69" s="929">
        <f t="shared" si="49"/>
        <v>262.06986866266936</v>
      </c>
      <c r="U69" s="929">
        <f t="shared" si="49"/>
        <v>160.49016085802992</v>
      </c>
      <c r="V69" s="929">
        <f t="shared" si="49"/>
        <v>79.12750199986412</v>
      </c>
      <c r="W69" s="929">
        <f t="shared" si="49"/>
        <v>30.65308255300951</v>
      </c>
      <c r="X69" s="931">
        <f t="shared" si="49"/>
        <v>9.17383684076843</v>
      </c>
    </row>
    <row r="70" spans="2:24" s="131" customFormat="1" ht="12.75">
      <c r="B70" s="1365"/>
      <c r="C70" s="935">
        <f t="shared" si="37"/>
        <v>-10.5</v>
      </c>
      <c r="D70" s="930">
        <f t="shared" si="38"/>
        <v>7.661561675077506</v>
      </c>
      <c r="E70" s="930">
        <f t="shared" si="39"/>
        <v>25.600028274696545</v>
      </c>
      <c r="F70" s="930">
        <f t="shared" si="40"/>
        <v>66.0836079046722</v>
      </c>
      <c r="G70" s="930">
        <f t="shared" si="41"/>
        <v>134.03391481659602</v>
      </c>
      <c r="H70" s="930">
        <f t="shared" si="42"/>
        <v>218.8685603187944</v>
      </c>
      <c r="I70" s="930">
        <f t="shared" si="43"/>
        <v>297.65411461762073</v>
      </c>
      <c r="J70" s="930">
        <f t="shared" si="44"/>
        <v>352.07979545315317</v>
      </c>
      <c r="K70" s="930">
        <f t="shared" si="45"/>
        <v>380.0443718802784</v>
      </c>
      <c r="L70" s="930">
        <f t="shared" si="46"/>
        <v>390.72890987756995</v>
      </c>
      <c r="M70" s="930">
        <f t="shared" si="47"/>
        <v>393.75301746004925</v>
      </c>
      <c r="N70" s="935">
        <f aca="true" t="shared" si="50" ref="N70:X70">surface_con*(AM101-AM102)*(AM103-AM104)</f>
        <v>394.29352767150164</v>
      </c>
      <c r="O70" s="929">
        <f t="shared" si="50"/>
        <v>393.75301746004925</v>
      </c>
      <c r="P70" s="929">
        <f t="shared" si="50"/>
        <v>390.72890987756995</v>
      </c>
      <c r="Q70" s="929">
        <f t="shared" si="50"/>
        <v>380.0443718802784</v>
      </c>
      <c r="R70" s="929">
        <f t="shared" si="50"/>
        <v>352.07979545315317</v>
      </c>
      <c r="S70" s="929">
        <f t="shared" si="50"/>
        <v>297.65411461762073</v>
      </c>
      <c r="T70" s="929">
        <f t="shared" si="50"/>
        <v>218.8685603187944</v>
      </c>
      <c r="U70" s="929">
        <f t="shared" si="50"/>
        <v>134.03391481659602</v>
      </c>
      <c r="V70" s="929">
        <f t="shared" si="50"/>
        <v>66.0836079046722</v>
      </c>
      <c r="W70" s="929">
        <f t="shared" si="50"/>
        <v>25.600028274696545</v>
      </c>
      <c r="X70" s="931">
        <f t="shared" si="50"/>
        <v>7.661561675077506</v>
      </c>
    </row>
    <row r="71" spans="2:24" s="131" customFormat="1" ht="12.75" customHeight="1">
      <c r="B71" s="1365"/>
      <c r="C71" s="935">
        <f t="shared" si="37"/>
        <v>-14</v>
      </c>
      <c r="D71" s="930">
        <f t="shared" si="38"/>
        <v>5.95339280818103</v>
      </c>
      <c r="E71" s="930">
        <f t="shared" si="39"/>
        <v>19.89242280925287</v>
      </c>
      <c r="F71" s="930">
        <f t="shared" si="40"/>
        <v>51.350063175514485</v>
      </c>
      <c r="G71" s="930">
        <f t="shared" si="41"/>
        <v>104.15063904232021</v>
      </c>
      <c r="H71" s="930">
        <f t="shared" si="42"/>
        <v>170.07113800016037</v>
      </c>
      <c r="I71" s="930">
        <f t="shared" si="43"/>
        <v>231.2912093437019</v>
      </c>
      <c r="J71" s="930">
        <f t="shared" si="44"/>
        <v>273.58251633932656</v>
      </c>
      <c r="K71" s="930">
        <f t="shared" si="45"/>
        <v>295.3123039786582</v>
      </c>
      <c r="L71" s="930">
        <f t="shared" si="46"/>
        <v>303.6146911902274</v>
      </c>
      <c r="M71" s="930">
        <f t="shared" si="47"/>
        <v>305.9645646359066</v>
      </c>
      <c r="N71" s="935">
        <f aca="true" t="shared" si="51" ref="N71:X71">surface_con*(AX101-AX102)*(AX103-AX104)</f>
        <v>306.3845664243248</v>
      </c>
      <c r="O71" s="929">
        <f t="shared" si="51"/>
        <v>305.9645646359066</v>
      </c>
      <c r="P71" s="929">
        <f t="shared" si="51"/>
        <v>303.6146911902274</v>
      </c>
      <c r="Q71" s="929">
        <f t="shared" si="51"/>
        <v>295.3123039786582</v>
      </c>
      <c r="R71" s="929">
        <f t="shared" si="51"/>
        <v>273.58251633932656</v>
      </c>
      <c r="S71" s="929">
        <f t="shared" si="51"/>
        <v>231.2912093437019</v>
      </c>
      <c r="T71" s="929">
        <f t="shared" si="51"/>
        <v>170.07113800016037</v>
      </c>
      <c r="U71" s="929">
        <f t="shared" si="51"/>
        <v>104.15063904232021</v>
      </c>
      <c r="V71" s="929">
        <f t="shared" si="51"/>
        <v>51.350063175514485</v>
      </c>
      <c r="W71" s="929">
        <f t="shared" si="51"/>
        <v>19.89242280925287</v>
      </c>
      <c r="X71" s="931">
        <f t="shared" si="51"/>
        <v>5.95339280818103</v>
      </c>
    </row>
    <row r="72" spans="2:24" s="131" customFormat="1" ht="12.75">
      <c r="B72" s="1365"/>
      <c r="C72" s="935">
        <f t="shared" si="37"/>
        <v>-17.5</v>
      </c>
      <c r="D72" s="930">
        <f t="shared" si="38"/>
        <v>4.303951361634721</v>
      </c>
      <c r="E72" s="930">
        <f t="shared" si="39"/>
        <v>14.381046740011126</v>
      </c>
      <c r="F72" s="930">
        <f t="shared" si="40"/>
        <v>37.12306267118468</v>
      </c>
      <c r="G72" s="930">
        <f t="shared" si="41"/>
        <v>75.29476034326706</v>
      </c>
      <c r="H72" s="930">
        <f t="shared" si="42"/>
        <v>122.95138747852951</v>
      </c>
      <c r="I72" s="930">
        <f t="shared" si="43"/>
        <v>167.2098830806222</v>
      </c>
      <c r="J72" s="930">
        <f t="shared" si="44"/>
        <v>197.78400009151434</v>
      </c>
      <c r="K72" s="930">
        <f t="shared" si="45"/>
        <v>213.49335307924534</v>
      </c>
      <c r="L72" s="930">
        <f t="shared" si="46"/>
        <v>219.49548865057005</v>
      </c>
      <c r="M72" s="930">
        <f t="shared" si="47"/>
        <v>221.19430835591555</v>
      </c>
      <c r="N72" s="935">
        <f aca="true" t="shared" si="52" ref="N72:X72">surface_con*(BI101-BI102)*(BI103-BI104)</f>
        <v>221.4979448414281</v>
      </c>
      <c r="O72" s="929">
        <f t="shared" si="52"/>
        <v>221.19430835591555</v>
      </c>
      <c r="P72" s="929">
        <f t="shared" si="52"/>
        <v>219.49548865057005</v>
      </c>
      <c r="Q72" s="929">
        <f t="shared" si="52"/>
        <v>213.49335307924534</v>
      </c>
      <c r="R72" s="929">
        <f t="shared" si="52"/>
        <v>197.78400009151434</v>
      </c>
      <c r="S72" s="929">
        <f t="shared" si="52"/>
        <v>167.2098830806222</v>
      </c>
      <c r="T72" s="929">
        <f t="shared" si="52"/>
        <v>122.95138747852951</v>
      </c>
      <c r="U72" s="929">
        <f t="shared" si="52"/>
        <v>75.29476034326706</v>
      </c>
      <c r="V72" s="929">
        <f t="shared" si="52"/>
        <v>37.12306267118468</v>
      </c>
      <c r="W72" s="929">
        <f t="shared" si="52"/>
        <v>14.381046740011126</v>
      </c>
      <c r="X72" s="931">
        <f t="shared" si="52"/>
        <v>4.303951361634721</v>
      </c>
    </row>
    <row r="73" spans="2:24" s="131" customFormat="1" ht="12.75">
      <c r="B73" s="1365"/>
      <c r="C73" s="935">
        <f t="shared" si="37"/>
        <v>-21</v>
      </c>
      <c r="D73" s="930">
        <f t="shared" si="38"/>
        <v>2.8946398682326118</v>
      </c>
      <c r="E73" s="930">
        <f t="shared" si="39"/>
        <v>9.672031057698051</v>
      </c>
      <c r="F73" s="930">
        <f t="shared" si="40"/>
        <v>24.967265707690178</v>
      </c>
      <c r="G73" s="930">
        <f t="shared" si="41"/>
        <v>50.63979511977077</v>
      </c>
      <c r="H73" s="930">
        <f t="shared" si="42"/>
        <v>82.69145214380165</v>
      </c>
      <c r="I73" s="930">
        <f t="shared" si="43"/>
        <v>112.4576820830628</v>
      </c>
      <c r="J73" s="930">
        <f t="shared" si="44"/>
        <v>133.02042794135312</v>
      </c>
      <c r="K73" s="930">
        <f t="shared" si="45"/>
        <v>143.5858167298439</v>
      </c>
      <c r="L73" s="930">
        <f t="shared" si="46"/>
        <v>147.6225772458119</v>
      </c>
      <c r="M73" s="930">
        <f t="shared" si="47"/>
        <v>148.76512529871658</v>
      </c>
      <c r="N73" s="935">
        <f aca="true" t="shared" si="53" ref="N73:X73">surface_con*(BT101-BT102)*(BT103-BT104)</f>
        <v>148.9693372431752</v>
      </c>
      <c r="O73" s="929">
        <f t="shared" si="53"/>
        <v>148.76512529871658</v>
      </c>
      <c r="P73" s="929">
        <f t="shared" si="53"/>
        <v>147.6225772458119</v>
      </c>
      <c r="Q73" s="929">
        <f t="shared" si="53"/>
        <v>143.5858167298439</v>
      </c>
      <c r="R73" s="929">
        <f t="shared" si="53"/>
        <v>133.02042794135312</v>
      </c>
      <c r="S73" s="929">
        <f t="shared" si="53"/>
        <v>112.4576820830628</v>
      </c>
      <c r="T73" s="929">
        <f t="shared" si="53"/>
        <v>82.69145214380165</v>
      </c>
      <c r="U73" s="929">
        <f t="shared" si="53"/>
        <v>50.63979511977077</v>
      </c>
      <c r="V73" s="929">
        <f t="shared" si="53"/>
        <v>24.967265707690178</v>
      </c>
      <c r="W73" s="929">
        <f t="shared" si="53"/>
        <v>9.672031057698051</v>
      </c>
      <c r="X73" s="931">
        <f t="shared" si="53"/>
        <v>2.8946398682326118</v>
      </c>
    </row>
    <row r="74" spans="2:24" s="131" customFormat="1" ht="12.75">
      <c r="B74" s="1365"/>
      <c r="C74" s="935">
        <f t="shared" si="37"/>
        <v>-24.5</v>
      </c>
      <c r="D74" s="930">
        <f t="shared" si="38"/>
        <v>1.8109575043628594</v>
      </c>
      <c r="E74" s="930">
        <f t="shared" si="39"/>
        <v>6.051059207259348</v>
      </c>
      <c r="F74" s="930">
        <f t="shared" si="40"/>
        <v>15.620132125233887</v>
      </c>
      <c r="G74" s="930">
        <f t="shared" si="41"/>
        <v>31.681494474661566</v>
      </c>
      <c r="H74" s="930">
        <f t="shared" si="42"/>
        <v>51.73379509137818</v>
      </c>
      <c r="I74" s="930">
        <f t="shared" si="43"/>
        <v>70.35627662239108</v>
      </c>
      <c r="J74" s="930">
        <f t="shared" si="44"/>
        <v>83.2208333954289</v>
      </c>
      <c r="K74" s="930">
        <f t="shared" si="45"/>
        <v>89.83079905057308</v>
      </c>
      <c r="L74" s="930">
        <f t="shared" si="46"/>
        <v>92.35629516839288</v>
      </c>
      <c r="M74" s="930">
        <f t="shared" si="47"/>
        <v>93.07110117697808</v>
      </c>
      <c r="N74" s="935">
        <f aca="true" t="shared" si="54" ref="N74:X74">surface_con*(CE101-CE102)*(CE103-CE104)</f>
        <v>93.19886116444886</v>
      </c>
      <c r="O74" s="929">
        <f t="shared" si="54"/>
        <v>93.07110117697808</v>
      </c>
      <c r="P74" s="929">
        <f t="shared" si="54"/>
        <v>92.35629516839288</v>
      </c>
      <c r="Q74" s="929">
        <f t="shared" si="54"/>
        <v>89.83079905057308</v>
      </c>
      <c r="R74" s="929">
        <f t="shared" si="54"/>
        <v>83.2208333954289</v>
      </c>
      <c r="S74" s="929">
        <f t="shared" si="54"/>
        <v>70.35627662239108</v>
      </c>
      <c r="T74" s="929">
        <f t="shared" si="54"/>
        <v>51.73379509137818</v>
      </c>
      <c r="U74" s="929">
        <f t="shared" si="54"/>
        <v>31.681494474661566</v>
      </c>
      <c r="V74" s="929">
        <f t="shared" si="54"/>
        <v>15.620132125233887</v>
      </c>
      <c r="W74" s="929">
        <f t="shared" si="54"/>
        <v>6.051059207259348</v>
      </c>
      <c r="X74" s="931">
        <f t="shared" si="54"/>
        <v>1.8109575043628594</v>
      </c>
    </row>
    <row r="75" spans="2:24" ht="12.75">
      <c r="B75" s="1365"/>
      <c r="C75" s="935">
        <f t="shared" si="37"/>
        <v>-28</v>
      </c>
      <c r="D75" s="930">
        <f t="shared" si="38"/>
        <v>1.0538212600906263</v>
      </c>
      <c r="E75" s="930">
        <f t="shared" si="39"/>
        <v>3.5211951817282032</v>
      </c>
      <c r="F75" s="930">
        <f t="shared" si="40"/>
        <v>9.089571278917107</v>
      </c>
      <c r="G75" s="930">
        <f t="shared" si="41"/>
        <v>18.43590053792473</v>
      </c>
      <c r="H75" s="930">
        <f t="shared" si="42"/>
        <v>30.104612063576436</v>
      </c>
      <c r="I75" s="930">
        <f t="shared" si="43"/>
        <v>40.94129205509888</v>
      </c>
      <c r="J75" s="930">
        <f t="shared" si="44"/>
        <v>48.42735586190245</v>
      </c>
      <c r="K75" s="930">
        <f t="shared" si="45"/>
        <v>52.27378644852768</v>
      </c>
      <c r="L75" s="930">
        <f t="shared" si="46"/>
        <v>53.74340762672933</v>
      </c>
      <c r="M75" s="930">
        <f t="shared" si="47"/>
        <v>54.15936314576986</v>
      </c>
      <c r="N75" s="935">
        <f aca="true" t="shared" si="55" ref="N75:X75">surface_con*(CP101-CP102)*(CP103-CP104)</f>
        <v>54.23370845241635</v>
      </c>
      <c r="O75" s="929">
        <f t="shared" si="55"/>
        <v>54.15936314576986</v>
      </c>
      <c r="P75" s="929">
        <f t="shared" si="55"/>
        <v>53.74340762672933</v>
      </c>
      <c r="Q75" s="929">
        <f t="shared" si="55"/>
        <v>52.27378644852768</v>
      </c>
      <c r="R75" s="929">
        <f t="shared" si="55"/>
        <v>48.42735586190245</v>
      </c>
      <c r="S75" s="929">
        <f t="shared" si="55"/>
        <v>40.94129205509888</v>
      </c>
      <c r="T75" s="929">
        <f t="shared" si="55"/>
        <v>30.104612063576436</v>
      </c>
      <c r="U75" s="929">
        <f t="shared" si="55"/>
        <v>18.43590053792473</v>
      </c>
      <c r="V75" s="929">
        <f t="shared" si="55"/>
        <v>9.089571278917107</v>
      </c>
      <c r="W75" s="929">
        <f t="shared" si="55"/>
        <v>3.5211951817282032</v>
      </c>
      <c r="X75" s="931">
        <f t="shared" si="55"/>
        <v>1.0538212600906263</v>
      </c>
    </row>
    <row r="76" spans="2:24" ht="12.75">
      <c r="B76" s="1365"/>
      <c r="C76" s="935">
        <f t="shared" si="37"/>
        <v>-31.5</v>
      </c>
      <c r="D76" s="930">
        <f t="shared" si="38"/>
        <v>0.570327502669859</v>
      </c>
      <c r="E76" s="930">
        <f t="shared" si="39"/>
        <v>1.905668950193207</v>
      </c>
      <c r="F76" s="930">
        <f t="shared" si="40"/>
        <v>4.9192711175694575</v>
      </c>
      <c r="G76" s="930">
        <f t="shared" si="41"/>
        <v>9.977499516720982</v>
      </c>
      <c r="H76" s="930">
        <f t="shared" si="42"/>
        <v>16.292599957214676</v>
      </c>
      <c r="I76" s="930">
        <f t="shared" si="43"/>
        <v>22.157405376177206</v>
      </c>
      <c r="J76" s="930">
        <f t="shared" si="44"/>
        <v>26.20885910694966</v>
      </c>
      <c r="K76" s="930">
        <f t="shared" si="45"/>
        <v>28.290545284427495</v>
      </c>
      <c r="L76" s="930">
        <f t="shared" si="46"/>
        <v>29.085903480524617</v>
      </c>
      <c r="M76" s="930">
        <f t="shared" si="47"/>
        <v>29.311018385091764</v>
      </c>
      <c r="N76" s="935">
        <f aca="true" t="shared" si="56" ref="N76:X76">surface_con*(DA101-DA102)*(DA103-DA104)</f>
        <v>29.351254025309608</v>
      </c>
      <c r="O76" s="929">
        <f t="shared" si="56"/>
        <v>29.311018385091764</v>
      </c>
      <c r="P76" s="929">
        <f t="shared" si="56"/>
        <v>29.085903480524617</v>
      </c>
      <c r="Q76" s="929">
        <f t="shared" si="56"/>
        <v>28.290545284427495</v>
      </c>
      <c r="R76" s="929">
        <f t="shared" si="56"/>
        <v>26.20885910694966</v>
      </c>
      <c r="S76" s="929">
        <f t="shared" si="56"/>
        <v>22.157405376177206</v>
      </c>
      <c r="T76" s="929">
        <f t="shared" si="56"/>
        <v>16.292599957214676</v>
      </c>
      <c r="U76" s="929">
        <f t="shared" si="56"/>
        <v>9.977499516720982</v>
      </c>
      <c r="V76" s="929">
        <f t="shared" si="56"/>
        <v>4.9192711175694575</v>
      </c>
      <c r="W76" s="929">
        <f t="shared" si="56"/>
        <v>1.905668950193207</v>
      </c>
      <c r="X76" s="931">
        <f t="shared" si="56"/>
        <v>0.570327502669859</v>
      </c>
    </row>
    <row r="77" spans="2:24" ht="13.5" thickBot="1">
      <c r="B77" s="1366"/>
      <c r="C77" s="936">
        <f t="shared" si="37"/>
        <v>-35</v>
      </c>
      <c r="D77" s="933">
        <f t="shared" si="38"/>
        <v>0.28703206172729695</v>
      </c>
      <c r="E77" s="933">
        <f t="shared" si="39"/>
        <v>0.959077170894002</v>
      </c>
      <c r="F77" s="933">
        <f t="shared" si="40"/>
        <v>2.4757503793199542</v>
      </c>
      <c r="G77" s="933">
        <f t="shared" si="41"/>
        <v>5.021434603383161</v>
      </c>
      <c r="H77" s="933">
        <f t="shared" si="42"/>
        <v>8.199672179099606</v>
      </c>
      <c r="I77" s="933">
        <f t="shared" si="43"/>
        <v>11.151287142701822</v>
      </c>
      <c r="J77" s="933">
        <f t="shared" si="44"/>
        <v>13.190285984406854</v>
      </c>
      <c r="K77" s="933">
        <f t="shared" si="45"/>
        <v>14.237948375916236</v>
      </c>
      <c r="L77" s="933">
        <f t="shared" si="46"/>
        <v>14.63823295235479</v>
      </c>
      <c r="M77" s="933">
        <f t="shared" si="47"/>
        <v>14.751527848499496</v>
      </c>
      <c r="N77" s="936">
        <f aca="true" t="shared" si="57" ref="N77:X77">surface_con*(DL101-DL102)*(DL103-DL104)</f>
        <v>14.771777474745084</v>
      </c>
      <c r="O77" s="932">
        <f t="shared" si="57"/>
        <v>14.751527848499496</v>
      </c>
      <c r="P77" s="932">
        <f t="shared" si="57"/>
        <v>14.63823295235479</v>
      </c>
      <c r="Q77" s="932">
        <f t="shared" si="57"/>
        <v>14.237948375916236</v>
      </c>
      <c r="R77" s="932">
        <f t="shared" si="57"/>
        <v>13.190285984406854</v>
      </c>
      <c r="S77" s="932">
        <f t="shared" si="57"/>
        <v>11.151287142701822</v>
      </c>
      <c r="T77" s="932">
        <f t="shared" si="57"/>
        <v>8.199672179099606</v>
      </c>
      <c r="U77" s="932">
        <f t="shared" si="57"/>
        <v>5.021434603383161</v>
      </c>
      <c r="V77" s="932">
        <f t="shared" si="57"/>
        <v>2.4757503793199542</v>
      </c>
      <c r="W77" s="932">
        <f t="shared" si="57"/>
        <v>0.959077170894002</v>
      </c>
      <c r="X77" s="934">
        <f t="shared" si="57"/>
        <v>0.28703206172729695</v>
      </c>
    </row>
    <row r="78" spans="4:17" ht="12.75">
      <c r="D78" s="132"/>
      <c r="N78" s="926"/>
      <c r="Q78" s="133"/>
    </row>
    <row r="79" spans="4:17" ht="12.75">
      <c r="D79" s="132"/>
      <c r="N79" s="926">
        <f>1*(F101-F102)*(F103-F104)</f>
        <v>1.2234976083543654</v>
      </c>
      <c r="Q79" s="133"/>
    </row>
    <row r="80" spans="2:17" ht="12.75">
      <c r="B80" s="103" t="s">
        <v>465</v>
      </c>
      <c r="D80" s="132"/>
      <c r="Q80" s="133"/>
    </row>
    <row r="81" spans="2:17" ht="15">
      <c r="B81" s="104" t="s">
        <v>435</v>
      </c>
      <c r="C81" s="105" t="s">
        <v>193</v>
      </c>
      <c r="D81" s="106" t="s">
        <v>201</v>
      </c>
      <c r="E81" s="99">
        <f>W_sw</f>
        <v>250</v>
      </c>
      <c r="F81" s="131">
        <f>(Yo.1*2+Yo.2*2+Yo.3)*1.5</f>
        <v>375</v>
      </c>
      <c r="G81" s="256" t="s">
        <v>14</v>
      </c>
      <c r="H81" s="258" t="s">
        <v>479</v>
      </c>
      <c r="I81" s="256"/>
      <c r="J81" s="259">
        <f>alpha.x*0.025</f>
        <v>0.33636242325677973</v>
      </c>
      <c r="K81" s="260" t="s">
        <v>201</v>
      </c>
      <c r="Q81" s="133"/>
    </row>
    <row r="82" spans="2:17" ht="13.5" thickBot="1">
      <c r="B82" s="134" t="s">
        <v>436</v>
      </c>
      <c r="C82" s="135" t="s">
        <v>437</v>
      </c>
      <c r="D82" s="136" t="s">
        <v>201</v>
      </c>
      <c r="E82" s="100">
        <f>D_sw</f>
        <v>35</v>
      </c>
      <c r="F82" s="100">
        <f>Z*2</f>
        <v>20</v>
      </c>
      <c r="G82" s="103" t="s">
        <v>459</v>
      </c>
      <c r="J82" s="103">
        <f>Yo.3+Yo.2+Yo.1</f>
        <v>175</v>
      </c>
      <c r="K82" s="103" t="s">
        <v>201</v>
      </c>
      <c r="Q82" s="133"/>
    </row>
    <row r="83" spans="2:17" ht="12.75">
      <c r="B83" s="108"/>
      <c r="C83" s="108"/>
      <c r="D83" s="109"/>
      <c r="E83" s="102"/>
      <c r="G83" s="103" t="s">
        <v>460</v>
      </c>
      <c r="J83" s="103">
        <f>Z</f>
        <v>10</v>
      </c>
      <c r="K83" s="103" t="s">
        <v>201</v>
      </c>
      <c r="Q83" s="133"/>
    </row>
    <row r="84" spans="2:18" ht="13.5" thickBot="1">
      <c r="B84" s="103" t="s">
        <v>458</v>
      </c>
      <c r="E84" s="132"/>
      <c r="F84" s="137">
        <f>'Centerline Output'!B78</f>
        <v>6250.267520447139</v>
      </c>
      <c r="G84" s="137"/>
      <c r="H84" s="137"/>
      <c r="I84" s="137"/>
      <c r="J84" s="137"/>
      <c r="K84" s="137"/>
      <c r="L84" s="137"/>
      <c r="M84" s="137"/>
      <c r="N84" s="137"/>
      <c r="O84" s="137"/>
      <c r="R84" s="133"/>
    </row>
    <row r="85" spans="2:126" ht="13.5" customHeight="1" thickBot="1">
      <c r="B85" s="103" t="s">
        <v>439</v>
      </c>
      <c r="E85" s="132"/>
      <c r="F85" s="1362">
        <f>C53</f>
        <v>0</v>
      </c>
      <c r="G85" s="1360"/>
      <c r="H85" s="1360"/>
      <c r="I85" s="1360"/>
      <c r="J85" s="1360"/>
      <c r="K85" s="1360"/>
      <c r="L85" s="1360"/>
      <c r="M85" s="1360"/>
      <c r="N85" s="1360"/>
      <c r="O85" s="1360"/>
      <c r="P85" s="1361"/>
      <c r="Q85" s="1362">
        <f>C54</f>
        <v>-3.5</v>
      </c>
      <c r="R85" s="1360"/>
      <c r="S85" s="1360"/>
      <c r="T85" s="1360"/>
      <c r="U85" s="1360"/>
      <c r="V85" s="1360"/>
      <c r="W85" s="1360"/>
      <c r="X85" s="1360"/>
      <c r="Y85" s="1360"/>
      <c r="Z85" s="1360"/>
      <c r="AA85" s="1361"/>
      <c r="AB85" s="857">
        <f>C55</f>
        <v>-7</v>
      </c>
      <c r="AC85" s="858"/>
      <c r="AD85" s="858"/>
      <c r="AE85" s="858"/>
      <c r="AF85" s="858"/>
      <c r="AG85" s="858"/>
      <c r="AH85" s="858"/>
      <c r="AI85" s="1360"/>
      <c r="AJ85" s="1360"/>
      <c r="AK85" s="1360"/>
      <c r="AL85" s="1361"/>
      <c r="AM85" s="1362">
        <f>C56</f>
        <v>-10.5</v>
      </c>
      <c r="AN85" s="1360"/>
      <c r="AO85" s="1360"/>
      <c r="AP85" s="1360"/>
      <c r="AQ85" s="1360"/>
      <c r="AR85" s="1360"/>
      <c r="AS85" s="1360"/>
      <c r="AT85" s="1360"/>
      <c r="AU85" s="1360"/>
      <c r="AV85" s="1360"/>
      <c r="AW85" s="1361"/>
      <c r="AX85" s="1362">
        <f>C57</f>
        <v>-14</v>
      </c>
      <c r="AY85" s="1360"/>
      <c r="AZ85" s="1360"/>
      <c r="BA85" s="1360"/>
      <c r="BB85" s="1360"/>
      <c r="BC85" s="1360"/>
      <c r="BD85" s="1360"/>
      <c r="BE85" s="1360"/>
      <c r="BF85" s="1360"/>
      <c r="BG85" s="1360"/>
      <c r="BH85" s="1361"/>
      <c r="BI85" s="1362">
        <f>C58</f>
        <v>-17.5</v>
      </c>
      <c r="BJ85" s="1360"/>
      <c r="BK85" s="1360"/>
      <c r="BL85" s="1360"/>
      <c r="BM85" s="1360"/>
      <c r="BN85" s="1360"/>
      <c r="BO85" s="1360"/>
      <c r="BP85" s="1360"/>
      <c r="BQ85" s="1360"/>
      <c r="BR85" s="1360"/>
      <c r="BS85" s="1361"/>
      <c r="BT85" s="1362">
        <f>C59</f>
        <v>-21</v>
      </c>
      <c r="BU85" s="1360"/>
      <c r="BV85" s="1360"/>
      <c r="BW85" s="1360"/>
      <c r="BX85" s="1360"/>
      <c r="BY85" s="1360"/>
      <c r="BZ85" s="1360"/>
      <c r="CA85" s="1360"/>
      <c r="CB85" s="1360"/>
      <c r="CC85" s="1360"/>
      <c r="CD85" s="1361"/>
      <c r="CE85" s="1362">
        <f>C60</f>
        <v>-24.5</v>
      </c>
      <c r="CF85" s="1360"/>
      <c r="CG85" s="1360"/>
      <c r="CH85" s="1360"/>
      <c r="CI85" s="1360"/>
      <c r="CJ85" s="1360"/>
      <c r="CK85" s="1360"/>
      <c r="CL85" s="1360"/>
      <c r="CM85" s="1360"/>
      <c r="CN85" s="1360"/>
      <c r="CO85" s="1361"/>
      <c r="CP85" s="1362">
        <f>C61</f>
        <v>-28</v>
      </c>
      <c r="CQ85" s="1360"/>
      <c r="CR85" s="1360"/>
      <c r="CS85" s="1360"/>
      <c r="CT85" s="1360"/>
      <c r="CU85" s="1360"/>
      <c r="CV85" s="1360"/>
      <c r="CW85" s="1360"/>
      <c r="CX85" s="1360"/>
      <c r="CY85" s="1360"/>
      <c r="CZ85" s="1361"/>
      <c r="DA85" s="1362">
        <f>C62</f>
        <v>-31.5</v>
      </c>
      <c r="DB85" s="1360"/>
      <c r="DC85" s="1360"/>
      <c r="DD85" s="1360"/>
      <c r="DE85" s="1360"/>
      <c r="DF85" s="1360"/>
      <c r="DG85" s="1360"/>
      <c r="DH85" s="1360"/>
      <c r="DI85" s="1360"/>
      <c r="DJ85" s="1360"/>
      <c r="DK85" s="1361"/>
      <c r="DL85" s="1362">
        <f>C63</f>
        <v>-35</v>
      </c>
      <c r="DM85" s="1360"/>
      <c r="DN85" s="1360"/>
      <c r="DO85" s="1360"/>
      <c r="DP85" s="1360"/>
      <c r="DQ85" s="1360"/>
      <c r="DR85" s="1360"/>
      <c r="DS85" s="1360"/>
      <c r="DT85" s="1360"/>
      <c r="DU85" s="1360"/>
      <c r="DV85" s="1361"/>
    </row>
    <row r="86" spans="2:126" ht="12.75">
      <c r="B86" s="103" t="s">
        <v>440</v>
      </c>
      <c r="E86" s="132"/>
      <c r="F86" s="138">
        <f aca="true" t="shared" si="58" ref="F86:P86">N52</f>
        <v>0</v>
      </c>
      <c r="G86" s="139">
        <f t="shared" si="58"/>
        <v>12.5</v>
      </c>
      <c r="H86" s="139">
        <f t="shared" si="58"/>
        <v>25</v>
      </c>
      <c r="I86" s="139">
        <f t="shared" si="58"/>
        <v>37.5</v>
      </c>
      <c r="J86" s="139">
        <f t="shared" si="58"/>
        <v>50</v>
      </c>
      <c r="K86" s="139">
        <f t="shared" si="58"/>
        <v>62.5</v>
      </c>
      <c r="L86" s="139">
        <f t="shared" si="58"/>
        <v>75</v>
      </c>
      <c r="M86" s="139">
        <f t="shared" si="58"/>
        <v>87.5</v>
      </c>
      <c r="N86" s="139">
        <f t="shared" si="58"/>
        <v>100</v>
      </c>
      <c r="O86" s="139">
        <f t="shared" si="58"/>
        <v>112.5</v>
      </c>
      <c r="P86" s="140">
        <f t="shared" si="58"/>
        <v>125</v>
      </c>
      <c r="Q86" s="138">
        <f aca="true" t="shared" si="59" ref="Q86:AD86">F86</f>
        <v>0</v>
      </c>
      <c r="R86" s="139">
        <f t="shared" si="59"/>
        <v>12.5</v>
      </c>
      <c r="S86" s="139">
        <f t="shared" si="59"/>
        <v>25</v>
      </c>
      <c r="T86" s="139">
        <f t="shared" si="59"/>
        <v>37.5</v>
      </c>
      <c r="U86" s="139">
        <f t="shared" si="59"/>
        <v>50</v>
      </c>
      <c r="V86" s="139">
        <f t="shared" si="59"/>
        <v>62.5</v>
      </c>
      <c r="W86" s="139">
        <f t="shared" si="59"/>
        <v>75</v>
      </c>
      <c r="X86" s="139">
        <f t="shared" si="59"/>
        <v>87.5</v>
      </c>
      <c r="Y86" s="139">
        <f t="shared" si="59"/>
        <v>100</v>
      </c>
      <c r="Z86" s="139">
        <f t="shared" si="59"/>
        <v>112.5</v>
      </c>
      <c r="AA86" s="140">
        <f t="shared" si="59"/>
        <v>125</v>
      </c>
      <c r="AB86" s="138">
        <f t="shared" si="59"/>
        <v>0</v>
      </c>
      <c r="AC86" s="139">
        <f t="shared" si="59"/>
        <v>12.5</v>
      </c>
      <c r="AD86" s="139">
        <f t="shared" si="59"/>
        <v>25</v>
      </c>
      <c r="AE86" s="139">
        <f aca="true" t="shared" si="60" ref="AE86:AW86">T86</f>
        <v>37.5</v>
      </c>
      <c r="AF86" s="139">
        <f t="shared" si="60"/>
        <v>50</v>
      </c>
      <c r="AG86" s="139">
        <f t="shared" si="60"/>
        <v>62.5</v>
      </c>
      <c r="AH86" s="139">
        <f t="shared" si="60"/>
        <v>75</v>
      </c>
      <c r="AI86" s="139">
        <f t="shared" si="60"/>
        <v>87.5</v>
      </c>
      <c r="AJ86" s="139">
        <f t="shared" si="60"/>
        <v>100</v>
      </c>
      <c r="AK86" s="139">
        <f t="shared" si="60"/>
        <v>112.5</v>
      </c>
      <c r="AL86" s="140">
        <f t="shared" si="60"/>
        <v>125</v>
      </c>
      <c r="AM86" s="138">
        <f t="shared" si="60"/>
        <v>0</v>
      </c>
      <c r="AN86" s="139">
        <f t="shared" si="60"/>
        <v>12.5</v>
      </c>
      <c r="AO86" s="139">
        <f t="shared" si="60"/>
        <v>25</v>
      </c>
      <c r="AP86" s="139">
        <f t="shared" si="60"/>
        <v>37.5</v>
      </c>
      <c r="AQ86" s="139">
        <f t="shared" si="60"/>
        <v>50</v>
      </c>
      <c r="AR86" s="139">
        <f t="shared" si="60"/>
        <v>62.5</v>
      </c>
      <c r="AS86" s="139">
        <f t="shared" si="60"/>
        <v>75</v>
      </c>
      <c r="AT86" s="139">
        <f t="shared" si="60"/>
        <v>87.5</v>
      </c>
      <c r="AU86" s="139">
        <f t="shared" si="60"/>
        <v>100</v>
      </c>
      <c r="AV86" s="139">
        <f t="shared" si="60"/>
        <v>112.5</v>
      </c>
      <c r="AW86" s="140">
        <f t="shared" si="60"/>
        <v>125</v>
      </c>
      <c r="AX86" s="138">
        <f aca="true" t="shared" si="61" ref="AX86:BG86">AM86</f>
        <v>0</v>
      </c>
      <c r="AY86" s="139">
        <f t="shared" si="61"/>
        <v>12.5</v>
      </c>
      <c r="AZ86" s="139">
        <f t="shared" si="61"/>
        <v>25</v>
      </c>
      <c r="BA86" s="139">
        <f t="shared" si="61"/>
        <v>37.5</v>
      </c>
      <c r="BB86" s="139">
        <f t="shared" si="61"/>
        <v>50</v>
      </c>
      <c r="BC86" s="139">
        <f t="shared" si="61"/>
        <v>62.5</v>
      </c>
      <c r="BD86" s="139">
        <f t="shared" si="61"/>
        <v>75</v>
      </c>
      <c r="BE86" s="139">
        <f t="shared" si="61"/>
        <v>87.5</v>
      </c>
      <c r="BF86" s="139">
        <f t="shared" si="61"/>
        <v>100</v>
      </c>
      <c r="BG86" s="139">
        <f t="shared" si="61"/>
        <v>112.5</v>
      </c>
      <c r="BH86" s="140">
        <f aca="true" t="shared" si="62" ref="BH86:CB86">AW86</f>
        <v>125</v>
      </c>
      <c r="BI86" s="138">
        <f t="shared" si="62"/>
        <v>0</v>
      </c>
      <c r="BJ86" s="139">
        <f t="shared" si="62"/>
        <v>12.5</v>
      </c>
      <c r="BK86" s="139">
        <f t="shared" si="62"/>
        <v>25</v>
      </c>
      <c r="BL86" s="139">
        <f t="shared" si="62"/>
        <v>37.5</v>
      </c>
      <c r="BM86" s="139">
        <f t="shared" si="62"/>
        <v>50</v>
      </c>
      <c r="BN86" s="139">
        <f t="shared" si="62"/>
        <v>62.5</v>
      </c>
      <c r="BO86" s="139">
        <f t="shared" si="62"/>
        <v>75</v>
      </c>
      <c r="BP86" s="139">
        <f t="shared" si="62"/>
        <v>87.5</v>
      </c>
      <c r="BQ86" s="139">
        <f t="shared" si="62"/>
        <v>100</v>
      </c>
      <c r="BR86" s="139">
        <f t="shared" si="62"/>
        <v>112.5</v>
      </c>
      <c r="BS86" s="140">
        <f t="shared" si="62"/>
        <v>125</v>
      </c>
      <c r="BT86" s="138">
        <f t="shared" si="62"/>
        <v>0</v>
      </c>
      <c r="BU86" s="139">
        <f t="shared" si="62"/>
        <v>12.5</v>
      </c>
      <c r="BV86" s="139">
        <f t="shared" si="62"/>
        <v>25</v>
      </c>
      <c r="BW86" s="139">
        <f t="shared" si="62"/>
        <v>37.5</v>
      </c>
      <c r="BX86" s="139">
        <f t="shared" si="62"/>
        <v>50</v>
      </c>
      <c r="BY86" s="139">
        <f t="shared" si="62"/>
        <v>62.5</v>
      </c>
      <c r="BZ86" s="139">
        <f t="shared" si="62"/>
        <v>75</v>
      </c>
      <c r="CA86" s="139">
        <f t="shared" si="62"/>
        <v>87.5</v>
      </c>
      <c r="CB86" s="139">
        <f t="shared" si="62"/>
        <v>100</v>
      </c>
      <c r="CC86" s="139">
        <f aca="true" t="shared" si="63" ref="CC86:DH86">BR86</f>
        <v>112.5</v>
      </c>
      <c r="CD86" s="140">
        <f t="shared" si="63"/>
        <v>125</v>
      </c>
      <c r="CE86" s="138">
        <f t="shared" si="63"/>
        <v>0</v>
      </c>
      <c r="CF86" s="139">
        <f t="shared" si="63"/>
        <v>12.5</v>
      </c>
      <c r="CG86" s="139">
        <f t="shared" si="63"/>
        <v>25</v>
      </c>
      <c r="CH86" s="139">
        <f t="shared" si="63"/>
        <v>37.5</v>
      </c>
      <c r="CI86" s="139">
        <f t="shared" si="63"/>
        <v>50</v>
      </c>
      <c r="CJ86" s="139">
        <f t="shared" si="63"/>
        <v>62.5</v>
      </c>
      <c r="CK86" s="139">
        <f t="shared" si="63"/>
        <v>75</v>
      </c>
      <c r="CL86" s="139">
        <f t="shared" si="63"/>
        <v>87.5</v>
      </c>
      <c r="CM86" s="139">
        <f t="shared" si="63"/>
        <v>100</v>
      </c>
      <c r="CN86" s="139">
        <f t="shared" si="63"/>
        <v>112.5</v>
      </c>
      <c r="CO86" s="140">
        <f t="shared" si="63"/>
        <v>125</v>
      </c>
      <c r="CP86" s="138">
        <f t="shared" si="63"/>
        <v>0</v>
      </c>
      <c r="CQ86" s="139">
        <f t="shared" si="63"/>
        <v>12.5</v>
      </c>
      <c r="CR86" s="139">
        <f t="shared" si="63"/>
        <v>25</v>
      </c>
      <c r="CS86" s="139">
        <f t="shared" si="63"/>
        <v>37.5</v>
      </c>
      <c r="CT86" s="139">
        <f t="shared" si="63"/>
        <v>50</v>
      </c>
      <c r="CU86" s="139">
        <f t="shared" si="63"/>
        <v>62.5</v>
      </c>
      <c r="CV86" s="139">
        <f t="shared" si="63"/>
        <v>75</v>
      </c>
      <c r="CW86" s="139">
        <f t="shared" si="63"/>
        <v>87.5</v>
      </c>
      <c r="CX86" s="139">
        <f t="shared" si="63"/>
        <v>100</v>
      </c>
      <c r="CY86" s="139">
        <f t="shared" si="63"/>
        <v>112.5</v>
      </c>
      <c r="CZ86" s="140">
        <f t="shared" si="63"/>
        <v>125</v>
      </c>
      <c r="DA86" s="138">
        <f t="shared" si="63"/>
        <v>0</v>
      </c>
      <c r="DB86" s="139">
        <f t="shared" si="63"/>
        <v>12.5</v>
      </c>
      <c r="DC86" s="139">
        <f t="shared" si="63"/>
        <v>25</v>
      </c>
      <c r="DD86" s="139">
        <f t="shared" si="63"/>
        <v>37.5</v>
      </c>
      <c r="DE86" s="139">
        <f t="shared" si="63"/>
        <v>50</v>
      </c>
      <c r="DF86" s="139">
        <f t="shared" si="63"/>
        <v>62.5</v>
      </c>
      <c r="DG86" s="139">
        <f t="shared" si="63"/>
        <v>75</v>
      </c>
      <c r="DH86" s="139">
        <f t="shared" si="63"/>
        <v>87.5</v>
      </c>
      <c r="DI86" s="139">
        <f aca="true" t="shared" si="64" ref="DI86:DV86">CX86</f>
        <v>100</v>
      </c>
      <c r="DJ86" s="139">
        <f t="shared" si="64"/>
        <v>112.5</v>
      </c>
      <c r="DK86" s="140">
        <f t="shared" si="64"/>
        <v>125</v>
      </c>
      <c r="DL86" s="138">
        <f t="shared" si="64"/>
        <v>0</v>
      </c>
      <c r="DM86" s="139">
        <f t="shared" si="64"/>
        <v>12.5</v>
      </c>
      <c r="DN86" s="139">
        <f t="shared" si="64"/>
        <v>25</v>
      </c>
      <c r="DO86" s="139">
        <f t="shared" si="64"/>
        <v>37.5</v>
      </c>
      <c r="DP86" s="139">
        <f t="shared" si="64"/>
        <v>50</v>
      </c>
      <c r="DQ86" s="139">
        <f t="shared" si="64"/>
        <v>62.5</v>
      </c>
      <c r="DR86" s="139">
        <f t="shared" si="64"/>
        <v>75</v>
      </c>
      <c r="DS86" s="139">
        <f t="shared" si="64"/>
        <v>87.5</v>
      </c>
      <c r="DT86" s="139">
        <f t="shared" si="64"/>
        <v>100</v>
      </c>
      <c r="DU86" s="139">
        <f t="shared" si="64"/>
        <v>112.5</v>
      </c>
      <c r="DV86" s="140">
        <f t="shared" si="64"/>
        <v>125</v>
      </c>
    </row>
    <row r="87" spans="6:126" ht="12.75">
      <c r="F87" s="141"/>
      <c r="G87" s="109"/>
      <c r="H87" s="109"/>
      <c r="I87" s="109"/>
      <c r="J87" s="109"/>
      <c r="K87" s="109"/>
      <c r="L87" s="109"/>
      <c r="M87" s="109"/>
      <c r="N87" s="109"/>
      <c r="O87" s="109"/>
      <c r="P87" s="142"/>
      <c r="Q87" s="141"/>
      <c r="R87" s="109"/>
      <c r="S87" s="109"/>
      <c r="T87" s="109"/>
      <c r="U87" s="109"/>
      <c r="V87" s="109"/>
      <c r="W87" s="109"/>
      <c r="X87" s="109"/>
      <c r="Y87" s="109"/>
      <c r="Z87" s="109"/>
      <c r="AA87" s="142"/>
      <c r="AB87" s="141"/>
      <c r="AC87" s="109"/>
      <c r="AD87" s="109"/>
      <c r="AE87" s="109"/>
      <c r="AF87" s="109"/>
      <c r="AG87" s="109"/>
      <c r="AH87" s="109"/>
      <c r="AI87" s="109"/>
      <c r="AJ87" s="109"/>
      <c r="AK87" s="109"/>
      <c r="AL87" s="142"/>
      <c r="AM87" s="141"/>
      <c r="AN87" s="109"/>
      <c r="AO87" s="109"/>
      <c r="AP87" s="109"/>
      <c r="AQ87" s="109"/>
      <c r="AR87" s="109"/>
      <c r="AS87" s="109"/>
      <c r="AT87" s="109"/>
      <c r="AU87" s="109"/>
      <c r="AV87" s="109"/>
      <c r="AW87" s="142"/>
      <c r="AX87" s="141"/>
      <c r="AY87" s="109"/>
      <c r="AZ87" s="109"/>
      <c r="BA87" s="109"/>
      <c r="BB87" s="109"/>
      <c r="BC87" s="109"/>
      <c r="BD87" s="109"/>
      <c r="BE87" s="109"/>
      <c r="BF87" s="109"/>
      <c r="BG87" s="109"/>
      <c r="BH87" s="142"/>
      <c r="BI87" s="141"/>
      <c r="BJ87" s="109"/>
      <c r="BK87" s="109"/>
      <c r="BL87" s="109"/>
      <c r="BM87" s="109"/>
      <c r="BN87" s="109"/>
      <c r="BO87" s="109"/>
      <c r="BP87" s="109"/>
      <c r="BQ87" s="109"/>
      <c r="BR87" s="109"/>
      <c r="BS87" s="142"/>
      <c r="BT87" s="141"/>
      <c r="BU87" s="109"/>
      <c r="BV87" s="109"/>
      <c r="BW87" s="109"/>
      <c r="BX87" s="109"/>
      <c r="BY87" s="109"/>
      <c r="BZ87" s="109"/>
      <c r="CA87" s="109"/>
      <c r="CB87" s="109"/>
      <c r="CC87" s="109"/>
      <c r="CD87" s="142"/>
      <c r="CE87" s="141"/>
      <c r="CF87" s="109"/>
      <c r="CG87" s="109"/>
      <c r="CH87" s="109"/>
      <c r="CI87" s="109"/>
      <c r="CJ87" s="109"/>
      <c r="CK87" s="109"/>
      <c r="CL87" s="109"/>
      <c r="CM87" s="109"/>
      <c r="CN87" s="109"/>
      <c r="CO87" s="142"/>
      <c r="CP87" s="141"/>
      <c r="CQ87" s="109"/>
      <c r="CR87" s="109"/>
      <c r="CS87" s="109"/>
      <c r="CT87" s="109"/>
      <c r="CU87" s="109"/>
      <c r="CV87" s="109"/>
      <c r="CW87" s="109"/>
      <c r="CX87" s="109"/>
      <c r="CY87" s="109"/>
      <c r="CZ87" s="142"/>
      <c r="DA87" s="141"/>
      <c r="DB87" s="109"/>
      <c r="DC87" s="109"/>
      <c r="DD87" s="109"/>
      <c r="DE87" s="109"/>
      <c r="DF87" s="109"/>
      <c r="DG87" s="109"/>
      <c r="DH87" s="109"/>
      <c r="DI87" s="109"/>
      <c r="DJ87" s="109"/>
      <c r="DK87" s="142"/>
      <c r="DL87" s="141"/>
      <c r="DM87" s="109"/>
      <c r="DN87" s="109"/>
      <c r="DO87" s="109"/>
      <c r="DP87" s="109"/>
      <c r="DQ87" s="109"/>
      <c r="DR87" s="109"/>
      <c r="DS87" s="109"/>
      <c r="DT87" s="109"/>
      <c r="DU87" s="109"/>
      <c r="DV87" s="142"/>
    </row>
    <row r="88" spans="2:126" ht="12.75">
      <c r="B88" s="109" t="s">
        <v>441</v>
      </c>
      <c r="E88" s="132"/>
      <c r="F88" s="143">
        <f aca="true" t="shared" si="65" ref="F88:AK88">X_SWLoad/(2*alpha.x)</f>
        <v>5.574344428386465</v>
      </c>
      <c r="G88" s="143">
        <f t="shared" si="65"/>
        <v>5.574344428386465</v>
      </c>
      <c r="H88" s="143">
        <f t="shared" si="65"/>
        <v>5.574344428386465</v>
      </c>
      <c r="I88" s="143">
        <f t="shared" si="65"/>
        <v>5.574344428386465</v>
      </c>
      <c r="J88" s="143">
        <f t="shared" si="65"/>
        <v>5.574344428386465</v>
      </c>
      <c r="K88" s="143">
        <f t="shared" si="65"/>
        <v>5.574344428386465</v>
      </c>
      <c r="L88" s="143">
        <f t="shared" si="65"/>
        <v>5.574344428386465</v>
      </c>
      <c r="M88" s="143">
        <f t="shared" si="65"/>
        <v>5.574344428386465</v>
      </c>
      <c r="N88" s="143">
        <f t="shared" si="65"/>
        <v>5.574344428386465</v>
      </c>
      <c r="O88" s="143">
        <f t="shared" si="65"/>
        <v>5.574344428386465</v>
      </c>
      <c r="P88" s="143">
        <f t="shared" si="65"/>
        <v>5.574344428386465</v>
      </c>
      <c r="Q88" s="143">
        <f t="shared" si="65"/>
        <v>5.574344428386465</v>
      </c>
      <c r="R88" s="143">
        <f t="shared" si="65"/>
        <v>5.574344428386465</v>
      </c>
      <c r="S88" s="143">
        <f t="shared" si="65"/>
        <v>5.574344428386465</v>
      </c>
      <c r="T88" s="143">
        <f t="shared" si="65"/>
        <v>5.574344428386465</v>
      </c>
      <c r="U88" s="143">
        <f t="shared" si="65"/>
        <v>5.574344428386465</v>
      </c>
      <c r="V88" s="143">
        <f t="shared" si="65"/>
        <v>5.574344428386465</v>
      </c>
      <c r="W88" s="143">
        <f t="shared" si="65"/>
        <v>5.574344428386465</v>
      </c>
      <c r="X88" s="143">
        <f t="shared" si="65"/>
        <v>5.574344428386465</v>
      </c>
      <c r="Y88" s="143">
        <f t="shared" si="65"/>
        <v>5.574344428386465</v>
      </c>
      <c r="Z88" s="143">
        <f t="shared" si="65"/>
        <v>5.574344428386465</v>
      </c>
      <c r="AA88" s="143">
        <f t="shared" si="65"/>
        <v>5.574344428386465</v>
      </c>
      <c r="AB88" s="143">
        <f t="shared" si="65"/>
        <v>5.574344428386465</v>
      </c>
      <c r="AC88" s="143">
        <f t="shared" si="65"/>
        <v>5.574344428386465</v>
      </c>
      <c r="AD88" s="143">
        <f t="shared" si="65"/>
        <v>5.574344428386465</v>
      </c>
      <c r="AE88" s="143">
        <f t="shared" si="65"/>
        <v>5.574344428386465</v>
      </c>
      <c r="AF88" s="143">
        <f t="shared" si="65"/>
        <v>5.574344428386465</v>
      </c>
      <c r="AG88" s="143">
        <f t="shared" si="65"/>
        <v>5.574344428386465</v>
      </c>
      <c r="AH88" s="143">
        <f t="shared" si="65"/>
        <v>5.574344428386465</v>
      </c>
      <c r="AI88" s="143">
        <f t="shared" si="65"/>
        <v>5.574344428386465</v>
      </c>
      <c r="AJ88" s="143">
        <f t="shared" si="65"/>
        <v>5.574344428386465</v>
      </c>
      <c r="AK88" s="143">
        <f t="shared" si="65"/>
        <v>5.574344428386465</v>
      </c>
      <c r="AL88" s="143">
        <f aca="true" t="shared" si="66" ref="AL88:BQ88">X_SWLoad/(2*alpha.x)</f>
        <v>5.574344428386465</v>
      </c>
      <c r="AM88" s="143">
        <f t="shared" si="66"/>
        <v>5.574344428386465</v>
      </c>
      <c r="AN88" s="143">
        <f t="shared" si="66"/>
        <v>5.574344428386465</v>
      </c>
      <c r="AO88" s="143">
        <f t="shared" si="66"/>
        <v>5.574344428386465</v>
      </c>
      <c r="AP88" s="143">
        <f t="shared" si="66"/>
        <v>5.574344428386465</v>
      </c>
      <c r="AQ88" s="143">
        <f t="shared" si="66"/>
        <v>5.574344428386465</v>
      </c>
      <c r="AR88" s="143">
        <f t="shared" si="66"/>
        <v>5.574344428386465</v>
      </c>
      <c r="AS88" s="143">
        <f t="shared" si="66"/>
        <v>5.574344428386465</v>
      </c>
      <c r="AT88" s="143">
        <f t="shared" si="66"/>
        <v>5.574344428386465</v>
      </c>
      <c r="AU88" s="143">
        <f t="shared" si="66"/>
        <v>5.574344428386465</v>
      </c>
      <c r="AV88" s="143">
        <f t="shared" si="66"/>
        <v>5.574344428386465</v>
      </c>
      <c r="AW88" s="143">
        <f t="shared" si="66"/>
        <v>5.574344428386465</v>
      </c>
      <c r="AX88" s="143">
        <f t="shared" si="66"/>
        <v>5.574344428386465</v>
      </c>
      <c r="AY88" s="143">
        <f t="shared" si="66"/>
        <v>5.574344428386465</v>
      </c>
      <c r="AZ88" s="143">
        <f t="shared" si="66"/>
        <v>5.574344428386465</v>
      </c>
      <c r="BA88" s="143">
        <f t="shared" si="66"/>
        <v>5.574344428386465</v>
      </c>
      <c r="BB88" s="143">
        <f t="shared" si="66"/>
        <v>5.574344428386465</v>
      </c>
      <c r="BC88" s="143">
        <f t="shared" si="66"/>
        <v>5.574344428386465</v>
      </c>
      <c r="BD88" s="143">
        <f t="shared" si="66"/>
        <v>5.574344428386465</v>
      </c>
      <c r="BE88" s="143">
        <f t="shared" si="66"/>
        <v>5.574344428386465</v>
      </c>
      <c r="BF88" s="143">
        <f t="shared" si="66"/>
        <v>5.574344428386465</v>
      </c>
      <c r="BG88" s="143">
        <f t="shared" si="66"/>
        <v>5.574344428386465</v>
      </c>
      <c r="BH88" s="143">
        <f t="shared" si="66"/>
        <v>5.574344428386465</v>
      </c>
      <c r="BI88" s="143">
        <f t="shared" si="66"/>
        <v>5.574344428386465</v>
      </c>
      <c r="BJ88" s="143">
        <f t="shared" si="66"/>
        <v>5.574344428386465</v>
      </c>
      <c r="BK88" s="143">
        <f t="shared" si="66"/>
        <v>5.574344428386465</v>
      </c>
      <c r="BL88" s="143">
        <f t="shared" si="66"/>
        <v>5.574344428386465</v>
      </c>
      <c r="BM88" s="143">
        <f t="shared" si="66"/>
        <v>5.574344428386465</v>
      </c>
      <c r="BN88" s="143">
        <f t="shared" si="66"/>
        <v>5.574344428386465</v>
      </c>
      <c r="BO88" s="143">
        <f t="shared" si="66"/>
        <v>5.574344428386465</v>
      </c>
      <c r="BP88" s="143">
        <f t="shared" si="66"/>
        <v>5.574344428386465</v>
      </c>
      <c r="BQ88" s="143">
        <f t="shared" si="66"/>
        <v>5.574344428386465</v>
      </c>
      <c r="BR88" s="143">
        <f aca="true" t="shared" si="67" ref="BR88:CW88">X_SWLoad/(2*alpha.x)</f>
        <v>5.574344428386465</v>
      </c>
      <c r="BS88" s="143">
        <f t="shared" si="67"/>
        <v>5.574344428386465</v>
      </c>
      <c r="BT88" s="143">
        <f t="shared" si="67"/>
        <v>5.574344428386465</v>
      </c>
      <c r="BU88" s="143">
        <f t="shared" si="67"/>
        <v>5.574344428386465</v>
      </c>
      <c r="BV88" s="143">
        <f t="shared" si="67"/>
        <v>5.574344428386465</v>
      </c>
      <c r="BW88" s="143">
        <f t="shared" si="67"/>
        <v>5.574344428386465</v>
      </c>
      <c r="BX88" s="143">
        <f t="shared" si="67"/>
        <v>5.574344428386465</v>
      </c>
      <c r="BY88" s="143">
        <f t="shared" si="67"/>
        <v>5.574344428386465</v>
      </c>
      <c r="BZ88" s="143">
        <f t="shared" si="67"/>
        <v>5.574344428386465</v>
      </c>
      <c r="CA88" s="143">
        <f t="shared" si="67"/>
        <v>5.574344428386465</v>
      </c>
      <c r="CB88" s="143">
        <f t="shared" si="67"/>
        <v>5.574344428386465</v>
      </c>
      <c r="CC88" s="143">
        <f t="shared" si="67"/>
        <v>5.574344428386465</v>
      </c>
      <c r="CD88" s="143">
        <f t="shared" si="67"/>
        <v>5.574344428386465</v>
      </c>
      <c r="CE88" s="143">
        <f t="shared" si="67"/>
        <v>5.574344428386465</v>
      </c>
      <c r="CF88" s="143">
        <f t="shared" si="67"/>
        <v>5.574344428386465</v>
      </c>
      <c r="CG88" s="143">
        <f t="shared" si="67"/>
        <v>5.574344428386465</v>
      </c>
      <c r="CH88" s="143">
        <f t="shared" si="67"/>
        <v>5.574344428386465</v>
      </c>
      <c r="CI88" s="143">
        <f t="shared" si="67"/>
        <v>5.574344428386465</v>
      </c>
      <c r="CJ88" s="143">
        <f t="shared" si="67"/>
        <v>5.574344428386465</v>
      </c>
      <c r="CK88" s="143">
        <f t="shared" si="67"/>
        <v>5.574344428386465</v>
      </c>
      <c r="CL88" s="143">
        <f t="shared" si="67"/>
        <v>5.574344428386465</v>
      </c>
      <c r="CM88" s="143">
        <f t="shared" si="67"/>
        <v>5.574344428386465</v>
      </c>
      <c r="CN88" s="143">
        <f t="shared" si="67"/>
        <v>5.574344428386465</v>
      </c>
      <c r="CO88" s="143">
        <f t="shared" si="67"/>
        <v>5.574344428386465</v>
      </c>
      <c r="CP88" s="143">
        <f t="shared" si="67"/>
        <v>5.574344428386465</v>
      </c>
      <c r="CQ88" s="143">
        <f t="shared" si="67"/>
        <v>5.574344428386465</v>
      </c>
      <c r="CR88" s="143">
        <f t="shared" si="67"/>
        <v>5.574344428386465</v>
      </c>
      <c r="CS88" s="143">
        <f t="shared" si="67"/>
        <v>5.574344428386465</v>
      </c>
      <c r="CT88" s="143">
        <f t="shared" si="67"/>
        <v>5.574344428386465</v>
      </c>
      <c r="CU88" s="143">
        <f t="shared" si="67"/>
        <v>5.574344428386465</v>
      </c>
      <c r="CV88" s="143">
        <f t="shared" si="67"/>
        <v>5.574344428386465</v>
      </c>
      <c r="CW88" s="143">
        <f t="shared" si="67"/>
        <v>5.574344428386465</v>
      </c>
      <c r="CX88" s="143">
        <f aca="true" t="shared" si="68" ref="CX88:DV88">X_SWLoad/(2*alpha.x)</f>
        <v>5.574344428386465</v>
      </c>
      <c r="CY88" s="143">
        <f t="shared" si="68"/>
        <v>5.574344428386465</v>
      </c>
      <c r="CZ88" s="143">
        <f t="shared" si="68"/>
        <v>5.574344428386465</v>
      </c>
      <c r="DA88" s="143">
        <f t="shared" si="68"/>
        <v>5.574344428386465</v>
      </c>
      <c r="DB88" s="143">
        <f t="shared" si="68"/>
        <v>5.574344428386465</v>
      </c>
      <c r="DC88" s="143">
        <f t="shared" si="68"/>
        <v>5.574344428386465</v>
      </c>
      <c r="DD88" s="143">
        <f t="shared" si="68"/>
        <v>5.574344428386465</v>
      </c>
      <c r="DE88" s="143">
        <f t="shared" si="68"/>
        <v>5.574344428386465</v>
      </c>
      <c r="DF88" s="143">
        <f t="shared" si="68"/>
        <v>5.574344428386465</v>
      </c>
      <c r="DG88" s="143">
        <f t="shared" si="68"/>
        <v>5.574344428386465</v>
      </c>
      <c r="DH88" s="143">
        <f t="shared" si="68"/>
        <v>5.574344428386465</v>
      </c>
      <c r="DI88" s="143">
        <f t="shared" si="68"/>
        <v>5.574344428386465</v>
      </c>
      <c r="DJ88" s="143">
        <f t="shared" si="68"/>
        <v>5.574344428386465</v>
      </c>
      <c r="DK88" s="143">
        <f t="shared" si="68"/>
        <v>5.574344428386465</v>
      </c>
      <c r="DL88" s="143">
        <f t="shared" si="68"/>
        <v>5.574344428386465</v>
      </c>
      <c r="DM88" s="143">
        <f t="shared" si="68"/>
        <v>5.574344428386465</v>
      </c>
      <c r="DN88" s="143">
        <f t="shared" si="68"/>
        <v>5.574344428386465</v>
      </c>
      <c r="DO88" s="143">
        <f t="shared" si="68"/>
        <v>5.574344428386465</v>
      </c>
      <c r="DP88" s="143">
        <f t="shared" si="68"/>
        <v>5.574344428386465</v>
      </c>
      <c r="DQ88" s="143">
        <f t="shared" si="68"/>
        <v>5.574344428386465</v>
      </c>
      <c r="DR88" s="143">
        <f t="shared" si="68"/>
        <v>5.574344428386465</v>
      </c>
      <c r="DS88" s="143">
        <f t="shared" si="68"/>
        <v>5.574344428386465</v>
      </c>
      <c r="DT88" s="143">
        <f t="shared" si="68"/>
        <v>5.574344428386465</v>
      </c>
      <c r="DU88" s="143">
        <f t="shared" si="68"/>
        <v>5.574344428386465</v>
      </c>
      <c r="DV88" s="143">
        <f t="shared" si="68"/>
        <v>5.574344428386465</v>
      </c>
    </row>
    <row r="89" spans="2:126" ht="12.75">
      <c r="B89" s="109" t="s">
        <v>442</v>
      </c>
      <c r="E89" s="132"/>
      <c r="F89" s="143">
        <f aca="true" t="shared" si="69" ref="F89:AK89">SQRT(1+(4*lambda*alpha.x/Vc))</f>
        <v>1.3771653826315728</v>
      </c>
      <c r="G89" s="143">
        <f t="shared" si="69"/>
        <v>1.3771653826315728</v>
      </c>
      <c r="H89" s="143">
        <f t="shared" si="69"/>
        <v>1.3771653826315728</v>
      </c>
      <c r="I89" s="143">
        <f t="shared" si="69"/>
        <v>1.3771653826315728</v>
      </c>
      <c r="J89" s="143">
        <f t="shared" si="69"/>
        <v>1.3771653826315728</v>
      </c>
      <c r="K89" s="143">
        <f t="shared" si="69"/>
        <v>1.3771653826315728</v>
      </c>
      <c r="L89" s="143">
        <f t="shared" si="69"/>
        <v>1.3771653826315728</v>
      </c>
      <c r="M89" s="143">
        <f t="shared" si="69"/>
        <v>1.3771653826315728</v>
      </c>
      <c r="N89" s="143">
        <f t="shared" si="69"/>
        <v>1.3771653826315728</v>
      </c>
      <c r="O89" s="143">
        <f t="shared" si="69"/>
        <v>1.3771653826315728</v>
      </c>
      <c r="P89" s="143">
        <f t="shared" si="69"/>
        <v>1.3771653826315728</v>
      </c>
      <c r="Q89" s="143">
        <f t="shared" si="69"/>
        <v>1.3771653826315728</v>
      </c>
      <c r="R89" s="143">
        <f t="shared" si="69"/>
        <v>1.3771653826315728</v>
      </c>
      <c r="S89" s="143">
        <f t="shared" si="69"/>
        <v>1.3771653826315728</v>
      </c>
      <c r="T89" s="143">
        <f t="shared" si="69"/>
        <v>1.3771653826315728</v>
      </c>
      <c r="U89" s="143">
        <f t="shared" si="69"/>
        <v>1.3771653826315728</v>
      </c>
      <c r="V89" s="143">
        <f t="shared" si="69"/>
        <v>1.3771653826315728</v>
      </c>
      <c r="W89" s="143">
        <f t="shared" si="69"/>
        <v>1.3771653826315728</v>
      </c>
      <c r="X89" s="143">
        <f t="shared" si="69"/>
        <v>1.3771653826315728</v>
      </c>
      <c r="Y89" s="143">
        <f t="shared" si="69"/>
        <v>1.3771653826315728</v>
      </c>
      <c r="Z89" s="143">
        <f t="shared" si="69"/>
        <v>1.3771653826315728</v>
      </c>
      <c r="AA89" s="143">
        <f t="shared" si="69"/>
        <v>1.3771653826315728</v>
      </c>
      <c r="AB89" s="143">
        <f t="shared" si="69"/>
        <v>1.3771653826315728</v>
      </c>
      <c r="AC89" s="143">
        <f t="shared" si="69"/>
        <v>1.3771653826315728</v>
      </c>
      <c r="AD89" s="143">
        <f t="shared" si="69"/>
        <v>1.3771653826315728</v>
      </c>
      <c r="AE89" s="143">
        <f t="shared" si="69"/>
        <v>1.3771653826315728</v>
      </c>
      <c r="AF89" s="143">
        <f t="shared" si="69"/>
        <v>1.3771653826315728</v>
      </c>
      <c r="AG89" s="143">
        <f t="shared" si="69"/>
        <v>1.3771653826315728</v>
      </c>
      <c r="AH89" s="143">
        <f t="shared" si="69"/>
        <v>1.3771653826315728</v>
      </c>
      <c r="AI89" s="143">
        <f t="shared" si="69"/>
        <v>1.3771653826315728</v>
      </c>
      <c r="AJ89" s="143">
        <f t="shared" si="69"/>
        <v>1.3771653826315728</v>
      </c>
      <c r="AK89" s="143">
        <f t="shared" si="69"/>
        <v>1.3771653826315728</v>
      </c>
      <c r="AL89" s="143">
        <f aca="true" t="shared" si="70" ref="AL89:BQ89">SQRT(1+(4*lambda*alpha.x/Vc))</f>
        <v>1.3771653826315728</v>
      </c>
      <c r="AM89" s="143">
        <f t="shared" si="70"/>
        <v>1.3771653826315728</v>
      </c>
      <c r="AN89" s="143">
        <f t="shared" si="70"/>
        <v>1.3771653826315728</v>
      </c>
      <c r="AO89" s="143">
        <f t="shared" si="70"/>
        <v>1.3771653826315728</v>
      </c>
      <c r="AP89" s="143">
        <f t="shared" si="70"/>
        <v>1.3771653826315728</v>
      </c>
      <c r="AQ89" s="143">
        <f t="shared" si="70"/>
        <v>1.3771653826315728</v>
      </c>
      <c r="AR89" s="143">
        <f t="shared" si="70"/>
        <v>1.3771653826315728</v>
      </c>
      <c r="AS89" s="143">
        <f t="shared" si="70"/>
        <v>1.3771653826315728</v>
      </c>
      <c r="AT89" s="143">
        <f t="shared" si="70"/>
        <v>1.3771653826315728</v>
      </c>
      <c r="AU89" s="143">
        <f t="shared" si="70"/>
        <v>1.3771653826315728</v>
      </c>
      <c r="AV89" s="143">
        <f t="shared" si="70"/>
        <v>1.3771653826315728</v>
      </c>
      <c r="AW89" s="143">
        <f t="shared" si="70"/>
        <v>1.3771653826315728</v>
      </c>
      <c r="AX89" s="143">
        <f t="shared" si="70"/>
        <v>1.3771653826315728</v>
      </c>
      <c r="AY89" s="143">
        <f t="shared" si="70"/>
        <v>1.3771653826315728</v>
      </c>
      <c r="AZ89" s="143">
        <f t="shared" si="70"/>
        <v>1.3771653826315728</v>
      </c>
      <c r="BA89" s="143">
        <f t="shared" si="70"/>
        <v>1.3771653826315728</v>
      </c>
      <c r="BB89" s="143">
        <f t="shared" si="70"/>
        <v>1.3771653826315728</v>
      </c>
      <c r="BC89" s="143">
        <f t="shared" si="70"/>
        <v>1.3771653826315728</v>
      </c>
      <c r="BD89" s="143">
        <f t="shared" si="70"/>
        <v>1.3771653826315728</v>
      </c>
      <c r="BE89" s="143">
        <f t="shared" si="70"/>
        <v>1.3771653826315728</v>
      </c>
      <c r="BF89" s="143">
        <f t="shared" si="70"/>
        <v>1.3771653826315728</v>
      </c>
      <c r="BG89" s="143">
        <f t="shared" si="70"/>
        <v>1.3771653826315728</v>
      </c>
      <c r="BH89" s="143">
        <f t="shared" si="70"/>
        <v>1.3771653826315728</v>
      </c>
      <c r="BI89" s="143">
        <f t="shared" si="70"/>
        <v>1.3771653826315728</v>
      </c>
      <c r="BJ89" s="143">
        <f t="shared" si="70"/>
        <v>1.3771653826315728</v>
      </c>
      <c r="BK89" s="143">
        <f t="shared" si="70"/>
        <v>1.3771653826315728</v>
      </c>
      <c r="BL89" s="143">
        <f t="shared" si="70"/>
        <v>1.3771653826315728</v>
      </c>
      <c r="BM89" s="143">
        <f t="shared" si="70"/>
        <v>1.3771653826315728</v>
      </c>
      <c r="BN89" s="143">
        <f t="shared" si="70"/>
        <v>1.3771653826315728</v>
      </c>
      <c r="BO89" s="143">
        <f t="shared" si="70"/>
        <v>1.3771653826315728</v>
      </c>
      <c r="BP89" s="143">
        <f t="shared" si="70"/>
        <v>1.3771653826315728</v>
      </c>
      <c r="BQ89" s="143">
        <f t="shared" si="70"/>
        <v>1.3771653826315728</v>
      </c>
      <c r="BR89" s="143">
        <f aca="true" t="shared" si="71" ref="BR89:CW89">SQRT(1+(4*lambda*alpha.x/Vc))</f>
        <v>1.3771653826315728</v>
      </c>
      <c r="BS89" s="143">
        <f t="shared" si="71"/>
        <v>1.3771653826315728</v>
      </c>
      <c r="BT89" s="143">
        <f t="shared" si="71"/>
        <v>1.3771653826315728</v>
      </c>
      <c r="BU89" s="143">
        <f t="shared" si="71"/>
        <v>1.3771653826315728</v>
      </c>
      <c r="BV89" s="143">
        <f t="shared" si="71"/>
        <v>1.3771653826315728</v>
      </c>
      <c r="BW89" s="143">
        <f t="shared" si="71"/>
        <v>1.3771653826315728</v>
      </c>
      <c r="BX89" s="143">
        <f t="shared" si="71"/>
        <v>1.3771653826315728</v>
      </c>
      <c r="BY89" s="143">
        <f t="shared" si="71"/>
        <v>1.3771653826315728</v>
      </c>
      <c r="BZ89" s="143">
        <f t="shared" si="71"/>
        <v>1.3771653826315728</v>
      </c>
      <c r="CA89" s="143">
        <f t="shared" si="71"/>
        <v>1.3771653826315728</v>
      </c>
      <c r="CB89" s="143">
        <f t="shared" si="71"/>
        <v>1.3771653826315728</v>
      </c>
      <c r="CC89" s="143">
        <f t="shared" si="71"/>
        <v>1.3771653826315728</v>
      </c>
      <c r="CD89" s="143">
        <f t="shared" si="71"/>
        <v>1.3771653826315728</v>
      </c>
      <c r="CE89" s="143">
        <f t="shared" si="71"/>
        <v>1.3771653826315728</v>
      </c>
      <c r="CF89" s="143">
        <f t="shared" si="71"/>
        <v>1.3771653826315728</v>
      </c>
      <c r="CG89" s="143">
        <f t="shared" si="71"/>
        <v>1.3771653826315728</v>
      </c>
      <c r="CH89" s="143">
        <f t="shared" si="71"/>
        <v>1.3771653826315728</v>
      </c>
      <c r="CI89" s="143">
        <f t="shared" si="71"/>
        <v>1.3771653826315728</v>
      </c>
      <c r="CJ89" s="143">
        <f t="shared" si="71"/>
        <v>1.3771653826315728</v>
      </c>
      <c r="CK89" s="143">
        <f t="shared" si="71"/>
        <v>1.3771653826315728</v>
      </c>
      <c r="CL89" s="143">
        <f t="shared" si="71"/>
        <v>1.3771653826315728</v>
      </c>
      <c r="CM89" s="143">
        <f t="shared" si="71"/>
        <v>1.3771653826315728</v>
      </c>
      <c r="CN89" s="143">
        <f t="shared" si="71"/>
        <v>1.3771653826315728</v>
      </c>
      <c r="CO89" s="143">
        <f t="shared" si="71"/>
        <v>1.3771653826315728</v>
      </c>
      <c r="CP89" s="143">
        <f t="shared" si="71"/>
        <v>1.3771653826315728</v>
      </c>
      <c r="CQ89" s="143">
        <f t="shared" si="71"/>
        <v>1.3771653826315728</v>
      </c>
      <c r="CR89" s="143">
        <f t="shared" si="71"/>
        <v>1.3771653826315728</v>
      </c>
      <c r="CS89" s="143">
        <f t="shared" si="71"/>
        <v>1.3771653826315728</v>
      </c>
      <c r="CT89" s="143">
        <f t="shared" si="71"/>
        <v>1.3771653826315728</v>
      </c>
      <c r="CU89" s="143">
        <f t="shared" si="71"/>
        <v>1.3771653826315728</v>
      </c>
      <c r="CV89" s="143">
        <f t="shared" si="71"/>
        <v>1.3771653826315728</v>
      </c>
      <c r="CW89" s="143">
        <f t="shared" si="71"/>
        <v>1.3771653826315728</v>
      </c>
      <c r="CX89" s="143">
        <f aca="true" t="shared" si="72" ref="CX89:DV89">SQRT(1+(4*lambda*alpha.x/Vc))</f>
        <v>1.3771653826315728</v>
      </c>
      <c r="CY89" s="143">
        <f t="shared" si="72"/>
        <v>1.3771653826315728</v>
      </c>
      <c r="CZ89" s="143">
        <f t="shared" si="72"/>
        <v>1.3771653826315728</v>
      </c>
      <c r="DA89" s="143">
        <f t="shared" si="72"/>
        <v>1.3771653826315728</v>
      </c>
      <c r="DB89" s="143">
        <f t="shared" si="72"/>
        <v>1.3771653826315728</v>
      </c>
      <c r="DC89" s="143">
        <f t="shared" si="72"/>
        <v>1.3771653826315728</v>
      </c>
      <c r="DD89" s="143">
        <f t="shared" si="72"/>
        <v>1.3771653826315728</v>
      </c>
      <c r="DE89" s="143">
        <f t="shared" si="72"/>
        <v>1.3771653826315728</v>
      </c>
      <c r="DF89" s="143">
        <f t="shared" si="72"/>
        <v>1.3771653826315728</v>
      </c>
      <c r="DG89" s="143">
        <f t="shared" si="72"/>
        <v>1.3771653826315728</v>
      </c>
      <c r="DH89" s="143">
        <f t="shared" si="72"/>
        <v>1.3771653826315728</v>
      </c>
      <c r="DI89" s="143">
        <f t="shared" si="72"/>
        <v>1.3771653826315728</v>
      </c>
      <c r="DJ89" s="143">
        <f t="shared" si="72"/>
        <v>1.3771653826315728</v>
      </c>
      <c r="DK89" s="143">
        <f t="shared" si="72"/>
        <v>1.3771653826315728</v>
      </c>
      <c r="DL89" s="143">
        <f t="shared" si="72"/>
        <v>1.3771653826315728</v>
      </c>
      <c r="DM89" s="143">
        <f t="shared" si="72"/>
        <v>1.3771653826315728</v>
      </c>
      <c r="DN89" s="143">
        <f t="shared" si="72"/>
        <v>1.3771653826315728</v>
      </c>
      <c r="DO89" s="143">
        <f t="shared" si="72"/>
        <v>1.3771653826315728</v>
      </c>
      <c r="DP89" s="143">
        <f t="shared" si="72"/>
        <v>1.3771653826315728</v>
      </c>
      <c r="DQ89" s="143">
        <f t="shared" si="72"/>
        <v>1.3771653826315728</v>
      </c>
      <c r="DR89" s="143">
        <f t="shared" si="72"/>
        <v>1.3771653826315728</v>
      </c>
      <c r="DS89" s="143">
        <f t="shared" si="72"/>
        <v>1.3771653826315728</v>
      </c>
      <c r="DT89" s="143">
        <f t="shared" si="72"/>
        <v>1.3771653826315728</v>
      </c>
      <c r="DU89" s="143">
        <f t="shared" si="72"/>
        <v>1.3771653826315728</v>
      </c>
      <c r="DV89" s="143">
        <f t="shared" si="72"/>
        <v>1.3771653826315728</v>
      </c>
    </row>
    <row r="90" spans="2:126" ht="12.75">
      <c r="B90" s="109" t="s">
        <v>443</v>
      </c>
      <c r="E90" s="132"/>
      <c r="F90" s="143">
        <f aca="true" t="shared" si="73" ref="F90:AK90">EXP(F88*(1-F89))</f>
        <v>0.12215680785666122</v>
      </c>
      <c r="G90" s="143">
        <f t="shared" si="73"/>
        <v>0.12215680785666122</v>
      </c>
      <c r="H90" s="143">
        <f t="shared" si="73"/>
        <v>0.12215680785666122</v>
      </c>
      <c r="I90" s="143">
        <f t="shared" si="73"/>
        <v>0.12215680785666122</v>
      </c>
      <c r="J90" s="143">
        <f t="shared" si="73"/>
        <v>0.12215680785666122</v>
      </c>
      <c r="K90" s="143">
        <f t="shared" si="73"/>
        <v>0.12215680785666122</v>
      </c>
      <c r="L90" s="143">
        <f t="shared" si="73"/>
        <v>0.12215680785666122</v>
      </c>
      <c r="M90" s="143">
        <f t="shared" si="73"/>
        <v>0.12215680785666122</v>
      </c>
      <c r="N90" s="143">
        <f t="shared" si="73"/>
        <v>0.12215680785666122</v>
      </c>
      <c r="O90" s="143">
        <f t="shared" si="73"/>
        <v>0.12215680785666122</v>
      </c>
      <c r="P90" s="143">
        <f t="shared" si="73"/>
        <v>0.12215680785666122</v>
      </c>
      <c r="Q90" s="143">
        <f t="shared" si="73"/>
        <v>0.12215680785666122</v>
      </c>
      <c r="R90" s="143">
        <f t="shared" si="73"/>
        <v>0.12215680785666122</v>
      </c>
      <c r="S90" s="143">
        <f t="shared" si="73"/>
        <v>0.12215680785666122</v>
      </c>
      <c r="T90" s="143">
        <f t="shared" si="73"/>
        <v>0.12215680785666122</v>
      </c>
      <c r="U90" s="143">
        <f t="shared" si="73"/>
        <v>0.12215680785666122</v>
      </c>
      <c r="V90" s="143">
        <f t="shared" si="73"/>
        <v>0.12215680785666122</v>
      </c>
      <c r="W90" s="143">
        <f t="shared" si="73"/>
        <v>0.12215680785666122</v>
      </c>
      <c r="X90" s="143">
        <f t="shared" si="73"/>
        <v>0.12215680785666122</v>
      </c>
      <c r="Y90" s="143">
        <f t="shared" si="73"/>
        <v>0.12215680785666122</v>
      </c>
      <c r="Z90" s="143">
        <f t="shared" si="73"/>
        <v>0.12215680785666122</v>
      </c>
      <c r="AA90" s="143">
        <f t="shared" si="73"/>
        <v>0.12215680785666122</v>
      </c>
      <c r="AB90" s="143">
        <f t="shared" si="73"/>
        <v>0.12215680785666122</v>
      </c>
      <c r="AC90" s="143">
        <f t="shared" si="73"/>
        <v>0.12215680785666122</v>
      </c>
      <c r="AD90" s="143">
        <f t="shared" si="73"/>
        <v>0.12215680785666122</v>
      </c>
      <c r="AE90" s="143">
        <f t="shared" si="73"/>
        <v>0.12215680785666122</v>
      </c>
      <c r="AF90" s="143">
        <f t="shared" si="73"/>
        <v>0.12215680785666122</v>
      </c>
      <c r="AG90" s="143">
        <f t="shared" si="73"/>
        <v>0.12215680785666122</v>
      </c>
      <c r="AH90" s="143">
        <f t="shared" si="73"/>
        <v>0.12215680785666122</v>
      </c>
      <c r="AI90" s="143">
        <f t="shared" si="73"/>
        <v>0.12215680785666122</v>
      </c>
      <c r="AJ90" s="143">
        <f t="shared" si="73"/>
        <v>0.12215680785666122</v>
      </c>
      <c r="AK90" s="143">
        <f t="shared" si="73"/>
        <v>0.12215680785666122</v>
      </c>
      <c r="AL90" s="143">
        <f aca="true" t="shared" si="74" ref="AL90:BQ90">EXP(AL88*(1-AL89))</f>
        <v>0.12215680785666122</v>
      </c>
      <c r="AM90" s="143">
        <f t="shared" si="74"/>
        <v>0.12215680785666122</v>
      </c>
      <c r="AN90" s="143">
        <f t="shared" si="74"/>
        <v>0.12215680785666122</v>
      </c>
      <c r="AO90" s="143">
        <f t="shared" si="74"/>
        <v>0.12215680785666122</v>
      </c>
      <c r="AP90" s="143">
        <f t="shared" si="74"/>
        <v>0.12215680785666122</v>
      </c>
      <c r="AQ90" s="143">
        <f t="shared" si="74"/>
        <v>0.12215680785666122</v>
      </c>
      <c r="AR90" s="143">
        <f t="shared" si="74"/>
        <v>0.12215680785666122</v>
      </c>
      <c r="AS90" s="143">
        <f t="shared" si="74"/>
        <v>0.12215680785666122</v>
      </c>
      <c r="AT90" s="143">
        <f t="shared" si="74"/>
        <v>0.12215680785666122</v>
      </c>
      <c r="AU90" s="143">
        <f t="shared" si="74"/>
        <v>0.12215680785666122</v>
      </c>
      <c r="AV90" s="143">
        <f t="shared" si="74"/>
        <v>0.12215680785666122</v>
      </c>
      <c r="AW90" s="143">
        <f t="shared" si="74"/>
        <v>0.12215680785666122</v>
      </c>
      <c r="AX90" s="143">
        <f t="shared" si="74"/>
        <v>0.12215680785666122</v>
      </c>
      <c r="AY90" s="143">
        <f t="shared" si="74"/>
        <v>0.12215680785666122</v>
      </c>
      <c r="AZ90" s="143">
        <f t="shared" si="74"/>
        <v>0.12215680785666122</v>
      </c>
      <c r="BA90" s="143">
        <f t="shared" si="74"/>
        <v>0.12215680785666122</v>
      </c>
      <c r="BB90" s="143">
        <f t="shared" si="74"/>
        <v>0.12215680785666122</v>
      </c>
      <c r="BC90" s="143">
        <f t="shared" si="74"/>
        <v>0.12215680785666122</v>
      </c>
      <c r="BD90" s="143">
        <f t="shared" si="74"/>
        <v>0.12215680785666122</v>
      </c>
      <c r="BE90" s="143">
        <f t="shared" si="74"/>
        <v>0.12215680785666122</v>
      </c>
      <c r="BF90" s="143">
        <f t="shared" si="74"/>
        <v>0.12215680785666122</v>
      </c>
      <c r="BG90" s="143">
        <f t="shared" si="74"/>
        <v>0.12215680785666122</v>
      </c>
      <c r="BH90" s="143">
        <f t="shared" si="74"/>
        <v>0.12215680785666122</v>
      </c>
      <c r="BI90" s="143">
        <f t="shared" si="74"/>
        <v>0.12215680785666122</v>
      </c>
      <c r="BJ90" s="143">
        <f t="shared" si="74"/>
        <v>0.12215680785666122</v>
      </c>
      <c r="BK90" s="143">
        <f t="shared" si="74"/>
        <v>0.12215680785666122</v>
      </c>
      <c r="BL90" s="143">
        <f t="shared" si="74"/>
        <v>0.12215680785666122</v>
      </c>
      <c r="BM90" s="143">
        <f t="shared" si="74"/>
        <v>0.12215680785666122</v>
      </c>
      <c r="BN90" s="143">
        <f t="shared" si="74"/>
        <v>0.12215680785666122</v>
      </c>
      <c r="BO90" s="143">
        <f t="shared" si="74"/>
        <v>0.12215680785666122</v>
      </c>
      <c r="BP90" s="143">
        <f t="shared" si="74"/>
        <v>0.12215680785666122</v>
      </c>
      <c r="BQ90" s="143">
        <f t="shared" si="74"/>
        <v>0.12215680785666122</v>
      </c>
      <c r="BR90" s="143">
        <f aca="true" t="shared" si="75" ref="BR90:CW90">EXP(BR88*(1-BR89))</f>
        <v>0.12215680785666122</v>
      </c>
      <c r="BS90" s="143">
        <f t="shared" si="75"/>
        <v>0.12215680785666122</v>
      </c>
      <c r="BT90" s="143">
        <f t="shared" si="75"/>
        <v>0.12215680785666122</v>
      </c>
      <c r="BU90" s="143">
        <f t="shared" si="75"/>
        <v>0.12215680785666122</v>
      </c>
      <c r="BV90" s="143">
        <f t="shared" si="75"/>
        <v>0.12215680785666122</v>
      </c>
      <c r="BW90" s="143">
        <f t="shared" si="75"/>
        <v>0.12215680785666122</v>
      </c>
      <c r="BX90" s="143">
        <f t="shared" si="75"/>
        <v>0.12215680785666122</v>
      </c>
      <c r="BY90" s="143">
        <f t="shared" si="75"/>
        <v>0.12215680785666122</v>
      </c>
      <c r="BZ90" s="143">
        <f t="shared" si="75"/>
        <v>0.12215680785666122</v>
      </c>
      <c r="CA90" s="143">
        <f t="shared" si="75"/>
        <v>0.12215680785666122</v>
      </c>
      <c r="CB90" s="143">
        <f t="shared" si="75"/>
        <v>0.12215680785666122</v>
      </c>
      <c r="CC90" s="143">
        <f t="shared" si="75"/>
        <v>0.12215680785666122</v>
      </c>
      <c r="CD90" s="143">
        <f t="shared" si="75"/>
        <v>0.12215680785666122</v>
      </c>
      <c r="CE90" s="143">
        <f t="shared" si="75"/>
        <v>0.12215680785666122</v>
      </c>
      <c r="CF90" s="143">
        <f t="shared" si="75"/>
        <v>0.12215680785666122</v>
      </c>
      <c r="CG90" s="143">
        <f t="shared" si="75"/>
        <v>0.12215680785666122</v>
      </c>
      <c r="CH90" s="143">
        <f t="shared" si="75"/>
        <v>0.12215680785666122</v>
      </c>
      <c r="CI90" s="143">
        <f t="shared" si="75"/>
        <v>0.12215680785666122</v>
      </c>
      <c r="CJ90" s="143">
        <f t="shared" si="75"/>
        <v>0.12215680785666122</v>
      </c>
      <c r="CK90" s="143">
        <f t="shared" si="75"/>
        <v>0.12215680785666122</v>
      </c>
      <c r="CL90" s="143">
        <f t="shared" si="75"/>
        <v>0.12215680785666122</v>
      </c>
      <c r="CM90" s="143">
        <f t="shared" si="75"/>
        <v>0.12215680785666122</v>
      </c>
      <c r="CN90" s="143">
        <f t="shared" si="75"/>
        <v>0.12215680785666122</v>
      </c>
      <c r="CO90" s="143">
        <f t="shared" si="75"/>
        <v>0.12215680785666122</v>
      </c>
      <c r="CP90" s="143">
        <f t="shared" si="75"/>
        <v>0.12215680785666122</v>
      </c>
      <c r="CQ90" s="143">
        <f t="shared" si="75"/>
        <v>0.12215680785666122</v>
      </c>
      <c r="CR90" s="143">
        <f t="shared" si="75"/>
        <v>0.12215680785666122</v>
      </c>
      <c r="CS90" s="143">
        <f t="shared" si="75"/>
        <v>0.12215680785666122</v>
      </c>
      <c r="CT90" s="143">
        <f t="shared" si="75"/>
        <v>0.12215680785666122</v>
      </c>
      <c r="CU90" s="143">
        <f t="shared" si="75"/>
        <v>0.12215680785666122</v>
      </c>
      <c r="CV90" s="143">
        <f t="shared" si="75"/>
        <v>0.12215680785666122</v>
      </c>
      <c r="CW90" s="143">
        <f t="shared" si="75"/>
        <v>0.12215680785666122</v>
      </c>
      <c r="CX90" s="143">
        <f aca="true" t="shared" si="76" ref="CX90:DV90">EXP(CX88*(1-CX89))</f>
        <v>0.12215680785666122</v>
      </c>
      <c r="CY90" s="143">
        <f t="shared" si="76"/>
        <v>0.12215680785666122</v>
      </c>
      <c r="CZ90" s="143">
        <f t="shared" si="76"/>
        <v>0.12215680785666122</v>
      </c>
      <c r="DA90" s="143">
        <f t="shared" si="76"/>
        <v>0.12215680785666122</v>
      </c>
      <c r="DB90" s="143">
        <f t="shared" si="76"/>
        <v>0.12215680785666122</v>
      </c>
      <c r="DC90" s="143">
        <f t="shared" si="76"/>
        <v>0.12215680785666122</v>
      </c>
      <c r="DD90" s="143">
        <f t="shared" si="76"/>
        <v>0.12215680785666122</v>
      </c>
      <c r="DE90" s="143">
        <f t="shared" si="76"/>
        <v>0.12215680785666122</v>
      </c>
      <c r="DF90" s="143">
        <f t="shared" si="76"/>
        <v>0.12215680785666122</v>
      </c>
      <c r="DG90" s="143">
        <f t="shared" si="76"/>
        <v>0.12215680785666122</v>
      </c>
      <c r="DH90" s="143">
        <f t="shared" si="76"/>
        <v>0.12215680785666122</v>
      </c>
      <c r="DI90" s="143">
        <f t="shared" si="76"/>
        <v>0.12215680785666122</v>
      </c>
      <c r="DJ90" s="143">
        <f t="shared" si="76"/>
        <v>0.12215680785666122</v>
      </c>
      <c r="DK90" s="143">
        <f t="shared" si="76"/>
        <v>0.12215680785666122</v>
      </c>
      <c r="DL90" s="143">
        <f t="shared" si="76"/>
        <v>0.12215680785666122</v>
      </c>
      <c r="DM90" s="143">
        <f t="shared" si="76"/>
        <v>0.12215680785666122</v>
      </c>
      <c r="DN90" s="143">
        <f t="shared" si="76"/>
        <v>0.12215680785666122</v>
      </c>
      <c r="DO90" s="143">
        <f t="shared" si="76"/>
        <v>0.12215680785666122</v>
      </c>
      <c r="DP90" s="143">
        <f t="shared" si="76"/>
        <v>0.12215680785666122</v>
      </c>
      <c r="DQ90" s="143">
        <f t="shared" si="76"/>
        <v>0.12215680785666122</v>
      </c>
      <c r="DR90" s="143">
        <f t="shared" si="76"/>
        <v>0.12215680785666122</v>
      </c>
      <c r="DS90" s="143">
        <f t="shared" si="76"/>
        <v>0.12215680785666122</v>
      </c>
      <c r="DT90" s="143">
        <f t="shared" si="76"/>
        <v>0.12215680785666122</v>
      </c>
      <c r="DU90" s="143">
        <f t="shared" si="76"/>
        <v>0.12215680785666122</v>
      </c>
      <c r="DV90" s="143">
        <f t="shared" si="76"/>
        <v>0.12215680785666122</v>
      </c>
    </row>
    <row r="91" spans="2:126" ht="12.75">
      <c r="B91" s="109" t="s">
        <v>444</v>
      </c>
      <c r="E91" s="132"/>
      <c r="F91" s="143">
        <f aca="true" t="shared" si="77" ref="F91:AK91">X_SWLoad-Vc*t_SWLoad*F89</f>
        <v>-994.6197801422663</v>
      </c>
      <c r="G91" s="143">
        <f t="shared" si="77"/>
        <v>-994.6197801422663</v>
      </c>
      <c r="H91" s="143">
        <f t="shared" si="77"/>
        <v>-994.6197801422663</v>
      </c>
      <c r="I91" s="143">
        <f t="shared" si="77"/>
        <v>-994.6197801422663</v>
      </c>
      <c r="J91" s="143">
        <f t="shared" si="77"/>
        <v>-994.6197801422663</v>
      </c>
      <c r="K91" s="143">
        <f t="shared" si="77"/>
        <v>-994.6197801422663</v>
      </c>
      <c r="L91" s="143">
        <f t="shared" si="77"/>
        <v>-994.6197801422663</v>
      </c>
      <c r="M91" s="143">
        <f t="shared" si="77"/>
        <v>-994.6197801422663</v>
      </c>
      <c r="N91" s="143">
        <f t="shared" si="77"/>
        <v>-994.6197801422663</v>
      </c>
      <c r="O91" s="143">
        <f t="shared" si="77"/>
        <v>-994.6197801422663</v>
      </c>
      <c r="P91" s="143">
        <f t="shared" si="77"/>
        <v>-994.6197801422663</v>
      </c>
      <c r="Q91" s="143">
        <f t="shared" si="77"/>
        <v>-994.6197801422663</v>
      </c>
      <c r="R91" s="143">
        <f t="shared" si="77"/>
        <v>-994.6197801422663</v>
      </c>
      <c r="S91" s="143">
        <f t="shared" si="77"/>
        <v>-994.6197801422663</v>
      </c>
      <c r="T91" s="143">
        <f t="shared" si="77"/>
        <v>-994.6197801422663</v>
      </c>
      <c r="U91" s="143">
        <f t="shared" si="77"/>
        <v>-994.6197801422663</v>
      </c>
      <c r="V91" s="143">
        <f t="shared" si="77"/>
        <v>-994.6197801422663</v>
      </c>
      <c r="W91" s="143">
        <f t="shared" si="77"/>
        <v>-994.6197801422663</v>
      </c>
      <c r="X91" s="143">
        <f t="shared" si="77"/>
        <v>-994.6197801422663</v>
      </c>
      <c r="Y91" s="143">
        <f t="shared" si="77"/>
        <v>-994.6197801422663</v>
      </c>
      <c r="Z91" s="143">
        <f t="shared" si="77"/>
        <v>-994.6197801422663</v>
      </c>
      <c r="AA91" s="143">
        <f t="shared" si="77"/>
        <v>-994.6197801422663</v>
      </c>
      <c r="AB91" s="143">
        <f t="shared" si="77"/>
        <v>-994.6197801422663</v>
      </c>
      <c r="AC91" s="143">
        <f t="shared" si="77"/>
        <v>-994.6197801422663</v>
      </c>
      <c r="AD91" s="143">
        <f t="shared" si="77"/>
        <v>-994.6197801422663</v>
      </c>
      <c r="AE91" s="143">
        <f t="shared" si="77"/>
        <v>-994.6197801422663</v>
      </c>
      <c r="AF91" s="143">
        <f t="shared" si="77"/>
        <v>-994.6197801422663</v>
      </c>
      <c r="AG91" s="143">
        <f t="shared" si="77"/>
        <v>-994.6197801422663</v>
      </c>
      <c r="AH91" s="143">
        <f t="shared" si="77"/>
        <v>-994.6197801422663</v>
      </c>
      <c r="AI91" s="143">
        <f t="shared" si="77"/>
        <v>-994.6197801422663</v>
      </c>
      <c r="AJ91" s="143">
        <f t="shared" si="77"/>
        <v>-994.6197801422663</v>
      </c>
      <c r="AK91" s="143">
        <f t="shared" si="77"/>
        <v>-994.6197801422663</v>
      </c>
      <c r="AL91" s="143">
        <f aca="true" t="shared" si="78" ref="AL91:BQ91">X_SWLoad-Vc*t_SWLoad*AL89</f>
        <v>-994.6197801422663</v>
      </c>
      <c r="AM91" s="143">
        <f t="shared" si="78"/>
        <v>-994.6197801422663</v>
      </c>
      <c r="AN91" s="143">
        <f t="shared" si="78"/>
        <v>-994.6197801422663</v>
      </c>
      <c r="AO91" s="143">
        <f t="shared" si="78"/>
        <v>-994.6197801422663</v>
      </c>
      <c r="AP91" s="143">
        <f t="shared" si="78"/>
        <v>-994.6197801422663</v>
      </c>
      <c r="AQ91" s="143">
        <f t="shared" si="78"/>
        <v>-994.6197801422663</v>
      </c>
      <c r="AR91" s="143">
        <f t="shared" si="78"/>
        <v>-994.6197801422663</v>
      </c>
      <c r="AS91" s="143">
        <f t="shared" si="78"/>
        <v>-994.6197801422663</v>
      </c>
      <c r="AT91" s="143">
        <f t="shared" si="78"/>
        <v>-994.6197801422663</v>
      </c>
      <c r="AU91" s="143">
        <f t="shared" si="78"/>
        <v>-994.6197801422663</v>
      </c>
      <c r="AV91" s="143">
        <f t="shared" si="78"/>
        <v>-994.6197801422663</v>
      </c>
      <c r="AW91" s="143">
        <f t="shared" si="78"/>
        <v>-994.6197801422663</v>
      </c>
      <c r="AX91" s="143">
        <f t="shared" si="78"/>
        <v>-994.6197801422663</v>
      </c>
      <c r="AY91" s="143">
        <f t="shared" si="78"/>
        <v>-994.6197801422663</v>
      </c>
      <c r="AZ91" s="143">
        <f t="shared" si="78"/>
        <v>-994.6197801422663</v>
      </c>
      <c r="BA91" s="143">
        <f t="shared" si="78"/>
        <v>-994.6197801422663</v>
      </c>
      <c r="BB91" s="143">
        <f t="shared" si="78"/>
        <v>-994.6197801422663</v>
      </c>
      <c r="BC91" s="143">
        <f t="shared" si="78"/>
        <v>-994.6197801422663</v>
      </c>
      <c r="BD91" s="143">
        <f t="shared" si="78"/>
        <v>-994.6197801422663</v>
      </c>
      <c r="BE91" s="143">
        <f t="shared" si="78"/>
        <v>-994.6197801422663</v>
      </c>
      <c r="BF91" s="143">
        <f t="shared" si="78"/>
        <v>-994.6197801422663</v>
      </c>
      <c r="BG91" s="143">
        <f t="shared" si="78"/>
        <v>-994.6197801422663</v>
      </c>
      <c r="BH91" s="143">
        <f t="shared" si="78"/>
        <v>-994.6197801422663</v>
      </c>
      <c r="BI91" s="143">
        <f t="shared" si="78"/>
        <v>-994.6197801422663</v>
      </c>
      <c r="BJ91" s="143">
        <f t="shared" si="78"/>
        <v>-994.6197801422663</v>
      </c>
      <c r="BK91" s="143">
        <f t="shared" si="78"/>
        <v>-994.6197801422663</v>
      </c>
      <c r="BL91" s="143">
        <f t="shared" si="78"/>
        <v>-994.6197801422663</v>
      </c>
      <c r="BM91" s="143">
        <f t="shared" si="78"/>
        <v>-994.6197801422663</v>
      </c>
      <c r="BN91" s="143">
        <f t="shared" si="78"/>
        <v>-994.6197801422663</v>
      </c>
      <c r="BO91" s="143">
        <f t="shared" si="78"/>
        <v>-994.6197801422663</v>
      </c>
      <c r="BP91" s="143">
        <f t="shared" si="78"/>
        <v>-994.6197801422663</v>
      </c>
      <c r="BQ91" s="143">
        <f t="shared" si="78"/>
        <v>-994.6197801422663</v>
      </c>
      <c r="BR91" s="143">
        <f aca="true" t="shared" si="79" ref="BR91:CW91">X_SWLoad-Vc*t_SWLoad*BR89</f>
        <v>-994.6197801422663</v>
      </c>
      <c r="BS91" s="143">
        <f t="shared" si="79"/>
        <v>-994.6197801422663</v>
      </c>
      <c r="BT91" s="143">
        <f t="shared" si="79"/>
        <v>-994.6197801422663</v>
      </c>
      <c r="BU91" s="143">
        <f t="shared" si="79"/>
        <v>-994.6197801422663</v>
      </c>
      <c r="BV91" s="143">
        <f t="shared" si="79"/>
        <v>-994.6197801422663</v>
      </c>
      <c r="BW91" s="143">
        <f t="shared" si="79"/>
        <v>-994.6197801422663</v>
      </c>
      <c r="BX91" s="143">
        <f t="shared" si="79"/>
        <v>-994.6197801422663</v>
      </c>
      <c r="BY91" s="143">
        <f t="shared" si="79"/>
        <v>-994.6197801422663</v>
      </c>
      <c r="BZ91" s="143">
        <f t="shared" si="79"/>
        <v>-994.6197801422663</v>
      </c>
      <c r="CA91" s="143">
        <f t="shared" si="79"/>
        <v>-994.6197801422663</v>
      </c>
      <c r="CB91" s="143">
        <f t="shared" si="79"/>
        <v>-994.6197801422663</v>
      </c>
      <c r="CC91" s="143">
        <f t="shared" si="79"/>
        <v>-994.6197801422663</v>
      </c>
      <c r="CD91" s="143">
        <f t="shared" si="79"/>
        <v>-994.6197801422663</v>
      </c>
      <c r="CE91" s="143">
        <f t="shared" si="79"/>
        <v>-994.6197801422663</v>
      </c>
      <c r="CF91" s="143">
        <f t="shared" si="79"/>
        <v>-994.6197801422663</v>
      </c>
      <c r="CG91" s="143">
        <f t="shared" si="79"/>
        <v>-994.6197801422663</v>
      </c>
      <c r="CH91" s="143">
        <f t="shared" si="79"/>
        <v>-994.6197801422663</v>
      </c>
      <c r="CI91" s="143">
        <f t="shared" si="79"/>
        <v>-994.6197801422663</v>
      </c>
      <c r="CJ91" s="143">
        <f t="shared" si="79"/>
        <v>-994.6197801422663</v>
      </c>
      <c r="CK91" s="143">
        <f t="shared" si="79"/>
        <v>-994.6197801422663</v>
      </c>
      <c r="CL91" s="143">
        <f t="shared" si="79"/>
        <v>-994.6197801422663</v>
      </c>
      <c r="CM91" s="143">
        <f t="shared" si="79"/>
        <v>-994.6197801422663</v>
      </c>
      <c r="CN91" s="143">
        <f t="shared" si="79"/>
        <v>-994.6197801422663</v>
      </c>
      <c r="CO91" s="143">
        <f t="shared" si="79"/>
        <v>-994.6197801422663</v>
      </c>
      <c r="CP91" s="143">
        <f t="shared" si="79"/>
        <v>-994.6197801422663</v>
      </c>
      <c r="CQ91" s="143">
        <f t="shared" si="79"/>
        <v>-994.6197801422663</v>
      </c>
      <c r="CR91" s="143">
        <f t="shared" si="79"/>
        <v>-994.6197801422663</v>
      </c>
      <c r="CS91" s="143">
        <f t="shared" si="79"/>
        <v>-994.6197801422663</v>
      </c>
      <c r="CT91" s="143">
        <f t="shared" si="79"/>
        <v>-994.6197801422663</v>
      </c>
      <c r="CU91" s="143">
        <f t="shared" si="79"/>
        <v>-994.6197801422663</v>
      </c>
      <c r="CV91" s="143">
        <f t="shared" si="79"/>
        <v>-994.6197801422663</v>
      </c>
      <c r="CW91" s="143">
        <f t="shared" si="79"/>
        <v>-994.6197801422663</v>
      </c>
      <c r="CX91" s="143">
        <f aca="true" t="shared" si="80" ref="CX91:DV91">X_SWLoad-Vc*t_SWLoad*CX89</f>
        <v>-994.6197801422663</v>
      </c>
      <c r="CY91" s="143">
        <f t="shared" si="80"/>
        <v>-994.6197801422663</v>
      </c>
      <c r="CZ91" s="143">
        <f t="shared" si="80"/>
        <v>-994.6197801422663</v>
      </c>
      <c r="DA91" s="143">
        <f t="shared" si="80"/>
        <v>-994.6197801422663</v>
      </c>
      <c r="DB91" s="143">
        <f t="shared" si="80"/>
        <v>-994.6197801422663</v>
      </c>
      <c r="DC91" s="143">
        <f t="shared" si="80"/>
        <v>-994.6197801422663</v>
      </c>
      <c r="DD91" s="143">
        <f t="shared" si="80"/>
        <v>-994.6197801422663</v>
      </c>
      <c r="DE91" s="143">
        <f t="shared" si="80"/>
        <v>-994.6197801422663</v>
      </c>
      <c r="DF91" s="143">
        <f t="shared" si="80"/>
        <v>-994.6197801422663</v>
      </c>
      <c r="DG91" s="143">
        <f t="shared" si="80"/>
        <v>-994.6197801422663</v>
      </c>
      <c r="DH91" s="143">
        <f t="shared" si="80"/>
        <v>-994.6197801422663</v>
      </c>
      <c r="DI91" s="143">
        <f t="shared" si="80"/>
        <v>-994.6197801422663</v>
      </c>
      <c r="DJ91" s="143">
        <f t="shared" si="80"/>
        <v>-994.6197801422663</v>
      </c>
      <c r="DK91" s="143">
        <f t="shared" si="80"/>
        <v>-994.6197801422663</v>
      </c>
      <c r="DL91" s="143">
        <f t="shared" si="80"/>
        <v>-994.6197801422663</v>
      </c>
      <c r="DM91" s="143">
        <f t="shared" si="80"/>
        <v>-994.6197801422663</v>
      </c>
      <c r="DN91" s="143">
        <f t="shared" si="80"/>
        <v>-994.6197801422663</v>
      </c>
      <c r="DO91" s="143">
        <f t="shared" si="80"/>
        <v>-994.6197801422663</v>
      </c>
      <c r="DP91" s="143">
        <f t="shared" si="80"/>
        <v>-994.6197801422663</v>
      </c>
      <c r="DQ91" s="143">
        <f t="shared" si="80"/>
        <v>-994.6197801422663</v>
      </c>
      <c r="DR91" s="143">
        <f t="shared" si="80"/>
        <v>-994.6197801422663</v>
      </c>
      <c r="DS91" s="143">
        <f t="shared" si="80"/>
        <v>-994.6197801422663</v>
      </c>
      <c r="DT91" s="143">
        <f t="shared" si="80"/>
        <v>-994.6197801422663</v>
      </c>
      <c r="DU91" s="143">
        <f t="shared" si="80"/>
        <v>-994.6197801422663</v>
      </c>
      <c r="DV91" s="143">
        <f t="shared" si="80"/>
        <v>-994.6197801422663</v>
      </c>
    </row>
    <row r="92" spans="2:126" ht="12.75">
      <c r="B92" s="109" t="s">
        <v>445</v>
      </c>
      <c r="E92" s="132"/>
      <c r="F92" s="143">
        <f aca="true" t="shared" si="81" ref="F92:AK92">2*SQRT(alpha.x*Vc*t_SWLoad)</f>
        <v>211.49558324432118</v>
      </c>
      <c r="G92" s="143">
        <f t="shared" si="81"/>
        <v>211.49558324432118</v>
      </c>
      <c r="H92" s="143">
        <f t="shared" si="81"/>
        <v>211.49558324432118</v>
      </c>
      <c r="I92" s="143">
        <f t="shared" si="81"/>
        <v>211.49558324432118</v>
      </c>
      <c r="J92" s="143">
        <f t="shared" si="81"/>
        <v>211.49558324432118</v>
      </c>
      <c r="K92" s="143">
        <f t="shared" si="81"/>
        <v>211.49558324432118</v>
      </c>
      <c r="L92" s="143">
        <f t="shared" si="81"/>
        <v>211.49558324432118</v>
      </c>
      <c r="M92" s="143">
        <f t="shared" si="81"/>
        <v>211.49558324432118</v>
      </c>
      <c r="N92" s="143">
        <f t="shared" si="81"/>
        <v>211.49558324432118</v>
      </c>
      <c r="O92" s="143">
        <f t="shared" si="81"/>
        <v>211.49558324432118</v>
      </c>
      <c r="P92" s="143">
        <f t="shared" si="81"/>
        <v>211.49558324432118</v>
      </c>
      <c r="Q92" s="143">
        <f t="shared" si="81"/>
        <v>211.49558324432118</v>
      </c>
      <c r="R92" s="143">
        <f t="shared" si="81"/>
        <v>211.49558324432118</v>
      </c>
      <c r="S92" s="143">
        <f t="shared" si="81"/>
        <v>211.49558324432118</v>
      </c>
      <c r="T92" s="143">
        <f t="shared" si="81"/>
        <v>211.49558324432118</v>
      </c>
      <c r="U92" s="143">
        <f t="shared" si="81"/>
        <v>211.49558324432118</v>
      </c>
      <c r="V92" s="143">
        <f t="shared" si="81"/>
        <v>211.49558324432118</v>
      </c>
      <c r="W92" s="143">
        <f t="shared" si="81"/>
        <v>211.49558324432118</v>
      </c>
      <c r="X92" s="143">
        <f t="shared" si="81"/>
        <v>211.49558324432118</v>
      </c>
      <c r="Y92" s="143">
        <f t="shared" si="81"/>
        <v>211.49558324432118</v>
      </c>
      <c r="Z92" s="143">
        <f t="shared" si="81"/>
        <v>211.49558324432118</v>
      </c>
      <c r="AA92" s="143">
        <f t="shared" si="81"/>
        <v>211.49558324432118</v>
      </c>
      <c r="AB92" s="143">
        <f t="shared" si="81"/>
        <v>211.49558324432118</v>
      </c>
      <c r="AC92" s="143">
        <f t="shared" si="81"/>
        <v>211.49558324432118</v>
      </c>
      <c r="AD92" s="143">
        <f t="shared" si="81"/>
        <v>211.49558324432118</v>
      </c>
      <c r="AE92" s="143">
        <f t="shared" si="81"/>
        <v>211.49558324432118</v>
      </c>
      <c r="AF92" s="143">
        <f t="shared" si="81"/>
        <v>211.49558324432118</v>
      </c>
      <c r="AG92" s="143">
        <f t="shared" si="81"/>
        <v>211.49558324432118</v>
      </c>
      <c r="AH92" s="143">
        <f t="shared" si="81"/>
        <v>211.49558324432118</v>
      </c>
      <c r="AI92" s="143">
        <f t="shared" si="81"/>
        <v>211.49558324432118</v>
      </c>
      <c r="AJ92" s="143">
        <f t="shared" si="81"/>
        <v>211.49558324432118</v>
      </c>
      <c r="AK92" s="143">
        <f t="shared" si="81"/>
        <v>211.49558324432118</v>
      </c>
      <c r="AL92" s="143">
        <f aca="true" t="shared" si="82" ref="AL92:BQ92">2*SQRT(alpha.x*Vc*t_SWLoad)</f>
        <v>211.49558324432118</v>
      </c>
      <c r="AM92" s="143">
        <f t="shared" si="82"/>
        <v>211.49558324432118</v>
      </c>
      <c r="AN92" s="143">
        <f t="shared" si="82"/>
        <v>211.49558324432118</v>
      </c>
      <c r="AO92" s="143">
        <f t="shared" si="82"/>
        <v>211.49558324432118</v>
      </c>
      <c r="AP92" s="143">
        <f t="shared" si="82"/>
        <v>211.49558324432118</v>
      </c>
      <c r="AQ92" s="143">
        <f t="shared" si="82"/>
        <v>211.49558324432118</v>
      </c>
      <c r="AR92" s="143">
        <f t="shared" si="82"/>
        <v>211.49558324432118</v>
      </c>
      <c r="AS92" s="143">
        <f t="shared" si="82"/>
        <v>211.49558324432118</v>
      </c>
      <c r="AT92" s="143">
        <f t="shared" si="82"/>
        <v>211.49558324432118</v>
      </c>
      <c r="AU92" s="143">
        <f t="shared" si="82"/>
        <v>211.49558324432118</v>
      </c>
      <c r="AV92" s="143">
        <f t="shared" si="82"/>
        <v>211.49558324432118</v>
      </c>
      <c r="AW92" s="143">
        <f t="shared" si="82"/>
        <v>211.49558324432118</v>
      </c>
      <c r="AX92" s="143">
        <f t="shared" si="82"/>
        <v>211.49558324432118</v>
      </c>
      <c r="AY92" s="143">
        <f t="shared" si="82"/>
        <v>211.49558324432118</v>
      </c>
      <c r="AZ92" s="143">
        <f t="shared" si="82"/>
        <v>211.49558324432118</v>
      </c>
      <c r="BA92" s="143">
        <f t="shared" si="82"/>
        <v>211.49558324432118</v>
      </c>
      <c r="BB92" s="143">
        <f t="shared" si="82"/>
        <v>211.49558324432118</v>
      </c>
      <c r="BC92" s="143">
        <f t="shared" si="82"/>
        <v>211.49558324432118</v>
      </c>
      <c r="BD92" s="143">
        <f t="shared" si="82"/>
        <v>211.49558324432118</v>
      </c>
      <c r="BE92" s="143">
        <f t="shared" si="82"/>
        <v>211.49558324432118</v>
      </c>
      <c r="BF92" s="143">
        <f t="shared" si="82"/>
        <v>211.49558324432118</v>
      </c>
      <c r="BG92" s="143">
        <f t="shared" si="82"/>
        <v>211.49558324432118</v>
      </c>
      <c r="BH92" s="143">
        <f t="shared" si="82"/>
        <v>211.49558324432118</v>
      </c>
      <c r="BI92" s="143">
        <f t="shared" si="82"/>
        <v>211.49558324432118</v>
      </c>
      <c r="BJ92" s="143">
        <f t="shared" si="82"/>
        <v>211.49558324432118</v>
      </c>
      <c r="BK92" s="143">
        <f t="shared" si="82"/>
        <v>211.49558324432118</v>
      </c>
      <c r="BL92" s="143">
        <f t="shared" si="82"/>
        <v>211.49558324432118</v>
      </c>
      <c r="BM92" s="143">
        <f t="shared" si="82"/>
        <v>211.49558324432118</v>
      </c>
      <c r="BN92" s="143">
        <f t="shared" si="82"/>
        <v>211.49558324432118</v>
      </c>
      <c r="BO92" s="143">
        <f t="shared" si="82"/>
        <v>211.49558324432118</v>
      </c>
      <c r="BP92" s="143">
        <f t="shared" si="82"/>
        <v>211.49558324432118</v>
      </c>
      <c r="BQ92" s="143">
        <f t="shared" si="82"/>
        <v>211.49558324432118</v>
      </c>
      <c r="BR92" s="143">
        <f aca="true" t="shared" si="83" ref="BR92:CW92">2*SQRT(alpha.x*Vc*t_SWLoad)</f>
        <v>211.49558324432118</v>
      </c>
      <c r="BS92" s="143">
        <f t="shared" si="83"/>
        <v>211.49558324432118</v>
      </c>
      <c r="BT92" s="143">
        <f t="shared" si="83"/>
        <v>211.49558324432118</v>
      </c>
      <c r="BU92" s="143">
        <f t="shared" si="83"/>
        <v>211.49558324432118</v>
      </c>
      <c r="BV92" s="143">
        <f t="shared" si="83"/>
        <v>211.49558324432118</v>
      </c>
      <c r="BW92" s="143">
        <f t="shared" si="83"/>
        <v>211.49558324432118</v>
      </c>
      <c r="BX92" s="143">
        <f t="shared" si="83"/>
        <v>211.49558324432118</v>
      </c>
      <c r="BY92" s="143">
        <f t="shared" si="83"/>
        <v>211.49558324432118</v>
      </c>
      <c r="BZ92" s="143">
        <f t="shared" si="83"/>
        <v>211.49558324432118</v>
      </c>
      <c r="CA92" s="143">
        <f t="shared" si="83"/>
        <v>211.49558324432118</v>
      </c>
      <c r="CB92" s="143">
        <f t="shared" si="83"/>
        <v>211.49558324432118</v>
      </c>
      <c r="CC92" s="143">
        <f t="shared" si="83"/>
        <v>211.49558324432118</v>
      </c>
      <c r="CD92" s="143">
        <f t="shared" si="83"/>
        <v>211.49558324432118</v>
      </c>
      <c r="CE92" s="143">
        <f t="shared" si="83"/>
        <v>211.49558324432118</v>
      </c>
      <c r="CF92" s="143">
        <f t="shared" si="83"/>
        <v>211.49558324432118</v>
      </c>
      <c r="CG92" s="143">
        <f t="shared" si="83"/>
        <v>211.49558324432118</v>
      </c>
      <c r="CH92" s="143">
        <f t="shared" si="83"/>
        <v>211.49558324432118</v>
      </c>
      <c r="CI92" s="143">
        <f t="shared" si="83"/>
        <v>211.49558324432118</v>
      </c>
      <c r="CJ92" s="143">
        <f t="shared" si="83"/>
        <v>211.49558324432118</v>
      </c>
      <c r="CK92" s="143">
        <f t="shared" si="83"/>
        <v>211.49558324432118</v>
      </c>
      <c r="CL92" s="143">
        <f t="shared" si="83"/>
        <v>211.49558324432118</v>
      </c>
      <c r="CM92" s="143">
        <f t="shared" si="83"/>
        <v>211.49558324432118</v>
      </c>
      <c r="CN92" s="143">
        <f t="shared" si="83"/>
        <v>211.49558324432118</v>
      </c>
      <c r="CO92" s="143">
        <f t="shared" si="83"/>
        <v>211.49558324432118</v>
      </c>
      <c r="CP92" s="143">
        <f t="shared" si="83"/>
        <v>211.49558324432118</v>
      </c>
      <c r="CQ92" s="143">
        <f t="shared" si="83"/>
        <v>211.49558324432118</v>
      </c>
      <c r="CR92" s="143">
        <f t="shared" si="83"/>
        <v>211.49558324432118</v>
      </c>
      <c r="CS92" s="143">
        <f t="shared" si="83"/>
        <v>211.49558324432118</v>
      </c>
      <c r="CT92" s="143">
        <f t="shared" si="83"/>
        <v>211.49558324432118</v>
      </c>
      <c r="CU92" s="143">
        <f t="shared" si="83"/>
        <v>211.49558324432118</v>
      </c>
      <c r="CV92" s="143">
        <f t="shared" si="83"/>
        <v>211.49558324432118</v>
      </c>
      <c r="CW92" s="143">
        <f t="shared" si="83"/>
        <v>211.49558324432118</v>
      </c>
      <c r="CX92" s="143">
        <f aca="true" t="shared" si="84" ref="CX92:DV92">2*SQRT(alpha.x*Vc*t_SWLoad)</f>
        <v>211.49558324432118</v>
      </c>
      <c r="CY92" s="143">
        <f t="shared" si="84"/>
        <v>211.49558324432118</v>
      </c>
      <c r="CZ92" s="143">
        <f t="shared" si="84"/>
        <v>211.49558324432118</v>
      </c>
      <c r="DA92" s="143">
        <f t="shared" si="84"/>
        <v>211.49558324432118</v>
      </c>
      <c r="DB92" s="143">
        <f t="shared" si="84"/>
        <v>211.49558324432118</v>
      </c>
      <c r="DC92" s="143">
        <f t="shared" si="84"/>
        <v>211.49558324432118</v>
      </c>
      <c r="DD92" s="143">
        <f t="shared" si="84"/>
        <v>211.49558324432118</v>
      </c>
      <c r="DE92" s="143">
        <f t="shared" si="84"/>
        <v>211.49558324432118</v>
      </c>
      <c r="DF92" s="143">
        <f t="shared" si="84"/>
        <v>211.49558324432118</v>
      </c>
      <c r="DG92" s="143">
        <f t="shared" si="84"/>
        <v>211.49558324432118</v>
      </c>
      <c r="DH92" s="143">
        <f t="shared" si="84"/>
        <v>211.49558324432118</v>
      </c>
      <c r="DI92" s="143">
        <f t="shared" si="84"/>
        <v>211.49558324432118</v>
      </c>
      <c r="DJ92" s="143">
        <f t="shared" si="84"/>
        <v>211.49558324432118</v>
      </c>
      <c r="DK92" s="143">
        <f t="shared" si="84"/>
        <v>211.49558324432118</v>
      </c>
      <c r="DL92" s="143">
        <f t="shared" si="84"/>
        <v>211.49558324432118</v>
      </c>
      <c r="DM92" s="143">
        <f t="shared" si="84"/>
        <v>211.49558324432118</v>
      </c>
      <c r="DN92" s="143">
        <f t="shared" si="84"/>
        <v>211.49558324432118</v>
      </c>
      <c r="DO92" s="143">
        <f t="shared" si="84"/>
        <v>211.49558324432118</v>
      </c>
      <c r="DP92" s="143">
        <f t="shared" si="84"/>
        <v>211.49558324432118</v>
      </c>
      <c r="DQ92" s="143">
        <f t="shared" si="84"/>
        <v>211.49558324432118</v>
      </c>
      <c r="DR92" s="143">
        <f t="shared" si="84"/>
        <v>211.49558324432118</v>
      </c>
      <c r="DS92" s="143">
        <f t="shared" si="84"/>
        <v>211.49558324432118</v>
      </c>
      <c r="DT92" s="143">
        <f t="shared" si="84"/>
        <v>211.49558324432118</v>
      </c>
      <c r="DU92" s="143">
        <f t="shared" si="84"/>
        <v>211.49558324432118</v>
      </c>
      <c r="DV92" s="143">
        <f t="shared" si="84"/>
        <v>211.49558324432118</v>
      </c>
    </row>
    <row r="93" spans="2:126" ht="12.75">
      <c r="B93" s="109" t="s">
        <v>446</v>
      </c>
      <c r="E93" s="132"/>
      <c r="F93" s="143">
        <f aca="true" t="shared" si="85" ref="F93:AK93">F91/F92</f>
        <v>-4.702792204380337</v>
      </c>
      <c r="G93" s="143">
        <f t="shared" si="85"/>
        <v>-4.702792204380337</v>
      </c>
      <c r="H93" s="143">
        <f t="shared" si="85"/>
        <v>-4.702792204380337</v>
      </c>
      <c r="I93" s="143">
        <f t="shared" si="85"/>
        <v>-4.702792204380337</v>
      </c>
      <c r="J93" s="143">
        <f t="shared" si="85"/>
        <v>-4.702792204380337</v>
      </c>
      <c r="K93" s="143">
        <f t="shared" si="85"/>
        <v>-4.702792204380337</v>
      </c>
      <c r="L93" s="143">
        <f t="shared" si="85"/>
        <v>-4.702792204380337</v>
      </c>
      <c r="M93" s="143">
        <f t="shared" si="85"/>
        <v>-4.702792204380337</v>
      </c>
      <c r="N93" s="143">
        <f t="shared" si="85"/>
        <v>-4.702792204380337</v>
      </c>
      <c r="O93" s="143">
        <f t="shared" si="85"/>
        <v>-4.702792204380337</v>
      </c>
      <c r="P93" s="143">
        <f t="shared" si="85"/>
        <v>-4.702792204380337</v>
      </c>
      <c r="Q93" s="143">
        <f t="shared" si="85"/>
        <v>-4.702792204380337</v>
      </c>
      <c r="R93" s="143">
        <f t="shared" si="85"/>
        <v>-4.702792204380337</v>
      </c>
      <c r="S93" s="143">
        <f t="shared" si="85"/>
        <v>-4.702792204380337</v>
      </c>
      <c r="T93" s="143">
        <f t="shared" si="85"/>
        <v>-4.702792204380337</v>
      </c>
      <c r="U93" s="143">
        <f t="shared" si="85"/>
        <v>-4.702792204380337</v>
      </c>
      <c r="V93" s="143">
        <f t="shared" si="85"/>
        <v>-4.702792204380337</v>
      </c>
      <c r="W93" s="143">
        <f t="shared" si="85"/>
        <v>-4.702792204380337</v>
      </c>
      <c r="X93" s="143">
        <f t="shared" si="85"/>
        <v>-4.702792204380337</v>
      </c>
      <c r="Y93" s="143">
        <f t="shared" si="85"/>
        <v>-4.702792204380337</v>
      </c>
      <c r="Z93" s="143">
        <f t="shared" si="85"/>
        <v>-4.702792204380337</v>
      </c>
      <c r="AA93" s="143">
        <f t="shared" si="85"/>
        <v>-4.702792204380337</v>
      </c>
      <c r="AB93" s="143">
        <f t="shared" si="85"/>
        <v>-4.702792204380337</v>
      </c>
      <c r="AC93" s="143">
        <f t="shared" si="85"/>
        <v>-4.702792204380337</v>
      </c>
      <c r="AD93" s="143">
        <f t="shared" si="85"/>
        <v>-4.702792204380337</v>
      </c>
      <c r="AE93" s="143">
        <f t="shared" si="85"/>
        <v>-4.702792204380337</v>
      </c>
      <c r="AF93" s="143">
        <f t="shared" si="85"/>
        <v>-4.702792204380337</v>
      </c>
      <c r="AG93" s="143">
        <f t="shared" si="85"/>
        <v>-4.702792204380337</v>
      </c>
      <c r="AH93" s="143">
        <f t="shared" si="85"/>
        <v>-4.702792204380337</v>
      </c>
      <c r="AI93" s="143">
        <f t="shared" si="85"/>
        <v>-4.702792204380337</v>
      </c>
      <c r="AJ93" s="143">
        <f t="shared" si="85"/>
        <v>-4.702792204380337</v>
      </c>
      <c r="AK93" s="143">
        <f t="shared" si="85"/>
        <v>-4.702792204380337</v>
      </c>
      <c r="AL93" s="143">
        <f aca="true" t="shared" si="86" ref="AL93:BQ93">AL91/AL92</f>
        <v>-4.702792204380337</v>
      </c>
      <c r="AM93" s="143">
        <f t="shared" si="86"/>
        <v>-4.702792204380337</v>
      </c>
      <c r="AN93" s="143">
        <f t="shared" si="86"/>
        <v>-4.702792204380337</v>
      </c>
      <c r="AO93" s="143">
        <f t="shared" si="86"/>
        <v>-4.702792204380337</v>
      </c>
      <c r="AP93" s="143">
        <f t="shared" si="86"/>
        <v>-4.702792204380337</v>
      </c>
      <c r="AQ93" s="143">
        <f t="shared" si="86"/>
        <v>-4.702792204380337</v>
      </c>
      <c r="AR93" s="143">
        <f t="shared" si="86"/>
        <v>-4.702792204380337</v>
      </c>
      <c r="AS93" s="143">
        <f t="shared" si="86"/>
        <v>-4.702792204380337</v>
      </c>
      <c r="AT93" s="143">
        <f t="shared" si="86"/>
        <v>-4.702792204380337</v>
      </c>
      <c r="AU93" s="143">
        <f t="shared" si="86"/>
        <v>-4.702792204380337</v>
      </c>
      <c r="AV93" s="143">
        <f t="shared" si="86"/>
        <v>-4.702792204380337</v>
      </c>
      <c r="AW93" s="143">
        <f t="shared" si="86"/>
        <v>-4.702792204380337</v>
      </c>
      <c r="AX93" s="143">
        <f t="shared" si="86"/>
        <v>-4.702792204380337</v>
      </c>
      <c r="AY93" s="143">
        <f t="shared" si="86"/>
        <v>-4.702792204380337</v>
      </c>
      <c r="AZ93" s="143">
        <f t="shared" si="86"/>
        <v>-4.702792204380337</v>
      </c>
      <c r="BA93" s="143">
        <f t="shared" si="86"/>
        <v>-4.702792204380337</v>
      </c>
      <c r="BB93" s="143">
        <f t="shared" si="86"/>
        <v>-4.702792204380337</v>
      </c>
      <c r="BC93" s="143">
        <f t="shared" si="86"/>
        <v>-4.702792204380337</v>
      </c>
      <c r="BD93" s="143">
        <f t="shared" si="86"/>
        <v>-4.702792204380337</v>
      </c>
      <c r="BE93" s="143">
        <f t="shared" si="86"/>
        <v>-4.702792204380337</v>
      </c>
      <c r="BF93" s="143">
        <f t="shared" si="86"/>
        <v>-4.702792204380337</v>
      </c>
      <c r="BG93" s="143">
        <f t="shared" si="86"/>
        <v>-4.702792204380337</v>
      </c>
      <c r="BH93" s="143">
        <f t="shared" si="86"/>
        <v>-4.702792204380337</v>
      </c>
      <c r="BI93" s="143">
        <f t="shared" si="86"/>
        <v>-4.702792204380337</v>
      </c>
      <c r="BJ93" s="143">
        <f t="shared" si="86"/>
        <v>-4.702792204380337</v>
      </c>
      <c r="BK93" s="143">
        <f t="shared" si="86"/>
        <v>-4.702792204380337</v>
      </c>
      <c r="BL93" s="143">
        <f t="shared" si="86"/>
        <v>-4.702792204380337</v>
      </c>
      <c r="BM93" s="143">
        <f t="shared" si="86"/>
        <v>-4.702792204380337</v>
      </c>
      <c r="BN93" s="143">
        <f t="shared" si="86"/>
        <v>-4.702792204380337</v>
      </c>
      <c r="BO93" s="143">
        <f t="shared" si="86"/>
        <v>-4.702792204380337</v>
      </c>
      <c r="BP93" s="143">
        <f t="shared" si="86"/>
        <v>-4.702792204380337</v>
      </c>
      <c r="BQ93" s="143">
        <f t="shared" si="86"/>
        <v>-4.702792204380337</v>
      </c>
      <c r="BR93" s="143">
        <f aca="true" t="shared" si="87" ref="BR93:CW93">BR91/BR92</f>
        <v>-4.702792204380337</v>
      </c>
      <c r="BS93" s="143">
        <f t="shared" si="87"/>
        <v>-4.702792204380337</v>
      </c>
      <c r="BT93" s="143">
        <f t="shared" si="87"/>
        <v>-4.702792204380337</v>
      </c>
      <c r="BU93" s="143">
        <f t="shared" si="87"/>
        <v>-4.702792204380337</v>
      </c>
      <c r="BV93" s="143">
        <f t="shared" si="87"/>
        <v>-4.702792204380337</v>
      </c>
      <c r="BW93" s="143">
        <f t="shared" si="87"/>
        <v>-4.702792204380337</v>
      </c>
      <c r="BX93" s="143">
        <f t="shared" si="87"/>
        <v>-4.702792204380337</v>
      </c>
      <c r="BY93" s="143">
        <f t="shared" si="87"/>
        <v>-4.702792204380337</v>
      </c>
      <c r="BZ93" s="143">
        <f t="shared" si="87"/>
        <v>-4.702792204380337</v>
      </c>
      <c r="CA93" s="143">
        <f t="shared" si="87"/>
        <v>-4.702792204380337</v>
      </c>
      <c r="CB93" s="143">
        <f t="shared" si="87"/>
        <v>-4.702792204380337</v>
      </c>
      <c r="CC93" s="143">
        <f t="shared" si="87"/>
        <v>-4.702792204380337</v>
      </c>
      <c r="CD93" s="143">
        <f t="shared" si="87"/>
        <v>-4.702792204380337</v>
      </c>
      <c r="CE93" s="143">
        <f t="shared" si="87"/>
        <v>-4.702792204380337</v>
      </c>
      <c r="CF93" s="143">
        <f t="shared" si="87"/>
        <v>-4.702792204380337</v>
      </c>
      <c r="CG93" s="143">
        <f t="shared" si="87"/>
        <v>-4.702792204380337</v>
      </c>
      <c r="CH93" s="143">
        <f t="shared" si="87"/>
        <v>-4.702792204380337</v>
      </c>
      <c r="CI93" s="143">
        <f t="shared" si="87"/>
        <v>-4.702792204380337</v>
      </c>
      <c r="CJ93" s="143">
        <f t="shared" si="87"/>
        <v>-4.702792204380337</v>
      </c>
      <c r="CK93" s="143">
        <f t="shared" si="87"/>
        <v>-4.702792204380337</v>
      </c>
      <c r="CL93" s="143">
        <f t="shared" si="87"/>
        <v>-4.702792204380337</v>
      </c>
      <c r="CM93" s="143">
        <f t="shared" si="87"/>
        <v>-4.702792204380337</v>
      </c>
      <c r="CN93" s="143">
        <f t="shared" si="87"/>
        <v>-4.702792204380337</v>
      </c>
      <c r="CO93" s="143">
        <f t="shared" si="87"/>
        <v>-4.702792204380337</v>
      </c>
      <c r="CP93" s="143">
        <f t="shared" si="87"/>
        <v>-4.702792204380337</v>
      </c>
      <c r="CQ93" s="143">
        <f t="shared" si="87"/>
        <v>-4.702792204380337</v>
      </c>
      <c r="CR93" s="143">
        <f t="shared" si="87"/>
        <v>-4.702792204380337</v>
      </c>
      <c r="CS93" s="143">
        <f t="shared" si="87"/>
        <v>-4.702792204380337</v>
      </c>
      <c r="CT93" s="143">
        <f t="shared" si="87"/>
        <v>-4.702792204380337</v>
      </c>
      <c r="CU93" s="143">
        <f t="shared" si="87"/>
        <v>-4.702792204380337</v>
      </c>
      <c r="CV93" s="143">
        <f t="shared" si="87"/>
        <v>-4.702792204380337</v>
      </c>
      <c r="CW93" s="143">
        <f t="shared" si="87"/>
        <v>-4.702792204380337</v>
      </c>
      <c r="CX93" s="143">
        <f aca="true" t="shared" si="88" ref="CX93:DV93">CX91/CX92</f>
        <v>-4.702792204380337</v>
      </c>
      <c r="CY93" s="143">
        <f t="shared" si="88"/>
        <v>-4.702792204380337</v>
      </c>
      <c r="CZ93" s="143">
        <f t="shared" si="88"/>
        <v>-4.702792204380337</v>
      </c>
      <c r="DA93" s="143">
        <f t="shared" si="88"/>
        <v>-4.702792204380337</v>
      </c>
      <c r="DB93" s="143">
        <f t="shared" si="88"/>
        <v>-4.702792204380337</v>
      </c>
      <c r="DC93" s="143">
        <f t="shared" si="88"/>
        <v>-4.702792204380337</v>
      </c>
      <c r="DD93" s="143">
        <f t="shared" si="88"/>
        <v>-4.702792204380337</v>
      </c>
      <c r="DE93" s="143">
        <f t="shared" si="88"/>
        <v>-4.702792204380337</v>
      </c>
      <c r="DF93" s="143">
        <f t="shared" si="88"/>
        <v>-4.702792204380337</v>
      </c>
      <c r="DG93" s="143">
        <f t="shared" si="88"/>
        <v>-4.702792204380337</v>
      </c>
      <c r="DH93" s="143">
        <f t="shared" si="88"/>
        <v>-4.702792204380337</v>
      </c>
      <c r="DI93" s="143">
        <f t="shared" si="88"/>
        <v>-4.702792204380337</v>
      </c>
      <c r="DJ93" s="143">
        <f t="shared" si="88"/>
        <v>-4.702792204380337</v>
      </c>
      <c r="DK93" s="143">
        <f t="shared" si="88"/>
        <v>-4.702792204380337</v>
      </c>
      <c r="DL93" s="143">
        <f t="shared" si="88"/>
        <v>-4.702792204380337</v>
      </c>
      <c r="DM93" s="143">
        <f t="shared" si="88"/>
        <v>-4.702792204380337</v>
      </c>
      <c r="DN93" s="143">
        <f t="shared" si="88"/>
        <v>-4.702792204380337</v>
      </c>
      <c r="DO93" s="143">
        <f t="shared" si="88"/>
        <v>-4.702792204380337</v>
      </c>
      <c r="DP93" s="143">
        <f t="shared" si="88"/>
        <v>-4.702792204380337</v>
      </c>
      <c r="DQ93" s="143">
        <f t="shared" si="88"/>
        <v>-4.702792204380337</v>
      </c>
      <c r="DR93" s="143">
        <f t="shared" si="88"/>
        <v>-4.702792204380337</v>
      </c>
      <c r="DS93" s="143">
        <f t="shared" si="88"/>
        <v>-4.702792204380337</v>
      </c>
      <c r="DT93" s="143">
        <f t="shared" si="88"/>
        <v>-4.702792204380337</v>
      </c>
      <c r="DU93" s="143">
        <f t="shared" si="88"/>
        <v>-4.702792204380337</v>
      </c>
      <c r="DV93" s="143">
        <f t="shared" si="88"/>
        <v>-4.702792204380337</v>
      </c>
    </row>
    <row r="94" spans="2:126" ht="12.75">
      <c r="B94" s="109" t="s">
        <v>447</v>
      </c>
      <c r="E94" s="132"/>
      <c r="F94" s="143">
        <v>2</v>
      </c>
      <c r="G94" s="143">
        <v>2</v>
      </c>
      <c r="H94" s="143">
        <v>2</v>
      </c>
      <c r="I94" s="143">
        <v>2</v>
      </c>
      <c r="J94" s="143">
        <v>2</v>
      </c>
      <c r="K94" s="143">
        <v>2</v>
      </c>
      <c r="L94" s="143">
        <v>2</v>
      </c>
      <c r="M94" s="143">
        <v>2</v>
      </c>
      <c r="N94" s="143">
        <v>2</v>
      </c>
      <c r="O94" s="143">
        <v>2</v>
      </c>
      <c r="P94" s="143">
        <v>2</v>
      </c>
      <c r="Q94" s="143">
        <v>2</v>
      </c>
      <c r="R94" s="143">
        <v>2</v>
      </c>
      <c r="S94" s="143">
        <v>2</v>
      </c>
      <c r="T94" s="143">
        <v>2</v>
      </c>
      <c r="U94" s="143">
        <v>2</v>
      </c>
      <c r="V94" s="143">
        <v>2</v>
      </c>
      <c r="W94" s="143">
        <v>2</v>
      </c>
      <c r="X94" s="143">
        <v>2</v>
      </c>
      <c r="Y94" s="143">
        <v>2</v>
      </c>
      <c r="Z94" s="143">
        <v>2</v>
      </c>
      <c r="AA94" s="143">
        <v>2</v>
      </c>
      <c r="AB94" s="143">
        <v>2</v>
      </c>
      <c r="AC94" s="143">
        <v>2</v>
      </c>
      <c r="AD94" s="143">
        <v>2</v>
      </c>
      <c r="AE94" s="143">
        <v>2</v>
      </c>
      <c r="AF94" s="143">
        <v>2</v>
      </c>
      <c r="AG94" s="143">
        <v>2</v>
      </c>
      <c r="AH94" s="143">
        <v>2</v>
      </c>
      <c r="AI94" s="143">
        <v>2</v>
      </c>
      <c r="AJ94" s="143">
        <v>2</v>
      </c>
      <c r="AK94" s="143">
        <v>2</v>
      </c>
      <c r="AL94" s="143">
        <v>2</v>
      </c>
      <c r="AM94" s="143">
        <v>2</v>
      </c>
      <c r="AN94" s="143">
        <v>2</v>
      </c>
      <c r="AO94" s="143">
        <v>2</v>
      </c>
      <c r="AP94" s="143">
        <v>2</v>
      </c>
      <c r="AQ94" s="143">
        <v>2</v>
      </c>
      <c r="AR94" s="143">
        <v>2</v>
      </c>
      <c r="AS94" s="143">
        <v>2</v>
      </c>
      <c r="AT94" s="143">
        <v>2</v>
      </c>
      <c r="AU94" s="143">
        <v>2</v>
      </c>
      <c r="AV94" s="143">
        <v>2</v>
      </c>
      <c r="AW94" s="143">
        <v>2</v>
      </c>
      <c r="AX94" s="143">
        <v>2</v>
      </c>
      <c r="AY94" s="143">
        <v>2</v>
      </c>
      <c r="AZ94" s="143">
        <v>2</v>
      </c>
      <c r="BA94" s="143">
        <v>2</v>
      </c>
      <c r="BB94" s="143">
        <v>2</v>
      </c>
      <c r="BC94" s="143">
        <v>2</v>
      </c>
      <c r="BD94" s="143">
        <v>2</v>
      </c>
      <c r="BE94" s="143">
        <v>2</v>
      </c>
      <c r="BF94" s="143">
        <v>2</v>
      </c>
      <c r="BG94" s="143">
        <v>2</v>
      </c>
      <c r="BH94" s="143">
        <v>2</v>
      </c>
      <c r="BI94" s="143">
        <v>2</v>
      </c>
      <c r="BJ94" s="143">
        <v>2</v>
      </c>
      <c r="BK94" s="143">
        <v>2</v>
      </c>
      <c r="BL94" s="143">
        <v>2</v>
      </c>
      <c r="BM94" s="143">
        <v>2</v>
      </c>
      <c r="BN94" s="143">
        <v>2</v>
      </c>
      <c r="BO94" s="143">
        <v>2</v>
      </c>
      <c r="BP94" s="143">
        <v>2</v>
      </c>
      <c r="BQ94" s="143">
        <v>2</v>
      </c>
      <c r="BR94" s="143">
        <v>2</v>
      </c>
      <c r="BS94" s="143">
        <v>2</v>
      </c>
      <c r="BT94" s="143">
        <v>2</v>
      </c>
      <c r="BU94" s="143">
        <v>2</v>
      </c>
      <c r="BV94" s="143">
        <v>2</v>
      </c>
      <c r="BW94" s="143">
        <v>2</v>
      </c>
      <c r="BX94" s="143">
        <v>2</v>
      </c>
      <c r="BY94" s="143">
        <v>2</v>
      </c>
      <c r="BZ94" s="143">
        <v>2</v>
      </c>
      <c r="CA94" s="143">
        <v>2</v>
      </c>
      <c r="CB94" s="143">
        <v>2</v>
      </c>
      <c r="CC94" s="143">
        <v>2</v>
      </c>
      <c r="CD94" s="143">
        <v>2</v>
      </c>
      <c r="CE94" s="143">
        <v>2</v>
      </c>
      <c r="CF94" s="143">
        <v>2</v>
      </c>
      <c r="CG94" s="143">
        <v>2</v>
      </c>
      <c r="CH94" s="143">
        <v>2</v>
      </c>
      <c r="CI94" s="143">
        <v>2</v>
      </c>
      <c r="CJ94" s="143">
        <v>2</v>
      </c>
      <c r="CK94" s="143">
        <v>2</v>
      </c>
      <c r="CL94" s="143">
        <v>2</v>
      </c>
      <c r="CM94" s="143">
        <v>2</v>
      </c>
      <c r="CN94" s="143">
        <v>2</v>
      </c>
      <c r="CO94" s="143">
        <v>2</v>
      </c>
      <c r="CP94" s="143">
        <v>2</v>
      </c>
      <c r="CQ94" s="143">
        <v>2</v>
      </c>
      <c r="CR94" s="143">
        <v>2</v>
      </c>
      <c r="CS94" s="143">
        <v>2</v>
      </c>
      <c r="CT94" s="143">
        <v>2</v>
      </c>
      <c r="CU94" s="143">
        <v>2</v>
      </c>
      <c r="CV94" s="143">
        <v>2</v>
      </c>
      <c r="CW94" s="143">
        <v>2</v>
      </c>
      <c r="CX94" s="143">
        <v>2</v>
      </c>
      <c r="CY94" s="143">
        <v>2</v>
      </c>
      <c r="CZ94" s="143">
        <v>2</v>
      </c>
      <c r="DA94" s="143">
        <v>2</v>
      </c>
      <c r="DB94" s="143">
        <v>2</v>
      </c>
      <c r="DC94" s="143">
        <v>2</v>
      </c>
      <c r="DD94" s="143">
        <v>2</v>
      </c>
      <c r="DE94" s="143">
        <v>2</v>
      </c>
      <c r="DF94" s="143">
        <v>2</v>
      </c>
      <c r="DG94" s="143">
        <v>2</v>
      </c>
      <c r="DH94" s="143">
        <v>2</v>
      </c>
      <c r="DI94" s="143">
        <v>2</v>
      </c>
      <c r="DJ94" s="143">
        <v>2</v>
      </c>
      <c r="DK94" s="143">
        <v>2</v>
      </c>
      <c r="DL94" s="143">
        <v>2</v>
      </c>
      <c r="DM94" s="143">
        <v>2</v>
      </c>
      <c r="DN94" s="143">
        <v>2</v>
      </c>
      <c r="DO94" s="143">
        <v>2</v>
      </c>
      <c r="DP94" s="143">
        <v>2</v>
      </c>
      <c r="DQ94" s="143">
        <v>2</v>
      </c>
      <c r="DR94" s="143">
        <v>2</v>
      </c>
      <c r="DS94" s="143">
        <v>2</v>
      </c>
      <c r="DT94" s="143">
        <v>2</v>
      </c>
      <c r="DU94" s="143">
        <v>2</v>
      </c>
      <c r="DV94" s="143">
        <v>2</v>
      </c>
    </row>
    <row r="95" spans="2:126" ht="12.75">
      <c r="B95" s="109" t="s">
        <v>448</v>
      </c>
      <c r="E95" s="132"/>
      <c r="F95" s="143">
        <f aca="true" t="shared" si="89" ref="F95:AK95">2*SQRT(alpha.y*X_SWLoad)</f>
        <v>28.412494009084654</v>
      </c>
      <c r="G95" s="143">
        <f t="shared" si="89"/>
        <v>28.412494009084654</v>
      </c>
      <c r="H95" s="143">
        <f t="shared" si="89"/>
        <v>28.412494009084654</v>
      </c>
      <c r="I95" s="143">
        <f t="shared" si="89"/>
        <v>28.412494009084654</v>
      </c>
      <c r="J95" s="143">
        <f t="shared" si="89"/>
        <v>28.412494009084654</v>
      </c>
      <c r="K95" s="143">
        <f t="shared" si="89"/>
        <v>28.412494009084654</v>
      </c>
      <c r="L95" s="143">
        <f t="shared" si="89"/>
        <v>28.412494009084654</v>
      </c>
      <c r="M95" s="143">
        <f t="shared" si="89"/>
        <v>28.412494009084654</v>
      </c>
      <c r="N95" s="143">
        <f t="shared" si="89"/>
        <v>28.412494009084654</v>
      </c>
      <c r="O95" s="143">
        <f t="shared" si="89"/>
        <v>28.412494009084654</v>
      </c>
      <c r="P95" s="143">
        <f t="shared" si="89"/>
        <v>28.412494009084654</v>
      </c>
      <c r="Q95" s="143">
        <f t="shared" si="89"/>
        <v>28.412494009084654</v>
      </c>
      <c r="R95" s="143">
        <f t="shared" si="89"/>
        <v>28.412494009084654</v>
      </c>
      <c r="S95" s="143">
        <f t="shared" si="89"/>
        <v>28.412494009084654</v>
      </c>
      <c r="T95" s="143">
        <f t="shared" si="89"/>
        <v>28.412494009084654</v>
      </c>
      <c r="U95" s="143">
        <f t="shared" si="89"/>
        <v>28.412494009084654</v>
      </c>
      <c r="V95" s="143">
        <f t="shared" si="89"/>
        <v>28.412494009084654</v>
      </c>
      <c r="W95" s="143">
        <f t="shared" si="89"/>
        <v>28.412494009084654</v>
      </c>
      <c r="X95" s="143">
        <f t="shared" si="89"/>
        <v>28.412494009084654</v>
      </c>
      <c r="Y95" s="143">
        <f t="shared" si="89"/>
        <v>28.412494009084654</v>
      </c>
      <c r="Z95" s="143">
        <f t="shared" si="89"/>
        <v>28.412494009084654</v>
      </c>
      <c r="AA95" s="143">
        <f t="shared" si="89"/>
        <v>28.412494009084654</v>
      </c>
      <c r="AB95" s="143">
        <f t="shared" si="89"/>
        <v>28.412494009084654</v>
      </c>
      <c r="AC95" s="143">
        <f t="shared" si="89"/>
        <v>28.412494009084654</v>
      </c>
      <c r="AD95" s="143">
        <f t="shared" si="89"/>
        <v>28.412494009084654</v>
      </c>
      <c r="AE95" s="143">
        <f t="shared" si="89"/>
        <v>28.412494009084654</v>
      </c>
      <c r="AF95" s="143">
        <f t="shared" si="89"/>
        <v>28.412494009084654</v>
      </c>
      <c r="AG95" s="143">
        <f t="shared" si="89"/>
        <v>28.412494009084654</v>
      </c>
      <c r="AH95" s="143">
        <f t="shared" si="89"/>
        <v>28.412494009084654</v>
      </c>
      <c r="AI95" s="143">
        <f t="shared" si="89"/>
        <v>28.412494009084654</v>
      </c>
      <c r="AJ95" s="143">
        <f t="shared" si="89"/>
        <v>28.412494009084654</v>
      </c>
      <c r="AK95" s="143">
        <f t="shared" si="89"/>
        <v>28.412494009084654</v>
      </c>
      <c r="AL95" s="143">
        <f aca="true" t="shared" si="90" ref="AL95:BQ95">2*SQRT(alpha.y*X_SWLoad)</f>
        <v>28.412494009084654</v>
      </c>
      <c r="AM95" s="143">
        <f t="shared" si="90"/>
        <v>28.412494009084654</v>
      </c>
      <c r="AN95" s="143">
        <f t="shared" si="90"/>
        <v>28.412494009084654</v>
      </c>
      <c r="AO95" s="143">
        <f t="shared" si="90"/>
        <v>28.412494009084654</v>
      </c>
      <c r="AP95" s="143">
        <f t="shared" si="90"/>
        <v>28.412494009084654</v>
      </c>
      <c r="AQ95" s="143">
        <f t="shared" si="90"/>
        <v>28.412494009084654</v>
      </c>
      <c r="AR95" s="143">
        <f t="shared" si="90"/>
        <v>28.412494009084654</v>
      </c>
      <c r="AS95" s="143">
        <f t="shared" si="90"/>
        <v>28.412494009084654</v>
      </c>
      <c r="AT95" s="143">
        <f t="shared" si="90"/>
        <v>28.412494009084654</v>
      </c>
      <c r="AU95" s="143">
        <f t="shared" si="90"/>
        <v>28.412494009084654</v>
      </c>
      <c r="AV95" s="143">
        <f t="shared" si="90"/>
        <v>28.412494009084654</v>
      </c>
      <c r="AW95" s="143">
        <f t="shared" si="90"/>
        <v>28.412494009084654</v>
      </c>
      <c r="AX95" s="143">
        <f t="shared" si="90"/>
        <v>28.412494009084654</v>
      </c>
      <c r="AY95" s="143">
        <f t="shared" si="90"/>
        <v>28.412494009084654</v>
      </c>
      <c r="AZ95" s="143">
        <f t="shared" si="90"/>
        <v>28.412494009084654</v>
      </c>
      <c r="BA95" s="143">
        <f t="shared" si="90"/>
        <v>28.412494009084654</v>
      </c>
      <c r="BB95" s="143">
        <f t="shared" si="90"/>
        <v>28.412494009084654</v>
      </c>
      <c r="BC95" s="143">
        <f t="shared" si="90"/>
        <v>28.412494009084654</v>
      </c>
      <c r="BD95" s="143">
        <f t="shared" si="90"/>
        <v>28.412494009084654</v>
      </c>
      <c r="BE95" s="143">
        <f t="shared" si="90"/>
        <v>28.412494009084654</v>
      </c>
      <c r="BF95" s="143">
        <f t="shared" si="90"/>
        <v>28.412494009084654</v>
      </c>
      <c r="BG95" s="143">
        <f t="shared" si="90"/>
        <v>28.412494009084654</v>
      </c>
      <c r="BH95" s="143">
        <f t="shared" si="90"/>
        <v>28.412494009084654</v>
      </c>
      <c r="BI95" s="143">
        <f t="shared" si="90"/>
        <v>28.412494009084654</v>
      </c>
      <c r="BJ95" s="143">
        <f t="shared" si="90"/>
        <v>28.412494009084654</v>
      </c>
      <c r="BK95" s="143">
        <f t="shared" si="90"/>
        <v>28.412494009084654</v>
      </c>
      <c r="BL95" s="143">
        <f t="shared" si="90"/>
        <v>28.412494009084654</v>
      </c>
      <c r="BM95" s="143">
        <f t="shared" si="90"/>
        <v>28.412494009084654</v>
      </c>
      <c r="BN95" s="143">
        <f t="shared" si="90"/>
        <v>28.412494009084654</v>
      </c>
      <c r="BO95" s="143">
        <f t="shared" si="90"/>
        <v>28.412494009084654</v>
      </c>
      <c r="BP95" s="143">
        <f t="shared" si="90"/>
        <v>28.412494009084654</v>
      </c>
      <c r="BQ95" s="143">
        <f t="shared" si="90"/>
        <v>28.412494009084654</v>
      </c>
      <c r="BR95" s="143">
        <f aca="true" t="shared" si="91" ref="BR95:CW95">2*SQRT(alpha.y*X_SWLoad)</f>
        <v>28.412494009084654</v>
      </c>
      <c r="BS95" s="143">
        <f t="shared" si="91"/>
        <v>28.412494009084654</v>
      </c>
      <c r="BT95" s="143">
        <f t="shared" si="91"/>
        <v>28.412494009084654</v>
      </c>
      <c r="BU95" s="143">
        <f t="shared" si="91"/>
        <v>28.412494009084654</v>
      </c>
      <c r="BV95" s="143">
        <f t="shared" si="91"/>
        <v>28.412494009084654</v>
      </c>
      <c r="BW95" s="143">
        <f t="shared" si="91"/>
        <v>28.412494009084654</v>
      </c>
      <c r="BX95" s="143">
        <f t="shared" si="91"/>
        <v>28.412494009084654</v>
      </c>
      <c r="BY95" s="143">
        <f t="shared" si="91"/>
        <v>28.412494009084654</v>
      </c>
      <c r="BZ95" s="143">
        <f t="shared" si="91"/>
        <v>28.412494009084654</v>
      </c>
      <c r="CA95" s="143">
        <f t="shared" si="91"/>
        <v>28.412494009084654</v>
      </c>
      <c r="CB95" s="143">
        <f t="shared" si="91"/>
        <v>28.412494009084654</v>
      </c>
      <c r="CC95" s="143">
        <f t="shared" si="91"/>
        <v>28.412494009084654</v>
      </c>
      <c r="CD95" s="143">
        <f t="shared" si="91"/>
        <v>28.412494009084654</v>
      </c>
      <c r="CE95" s="143">
        <f t="shared" si="91"/>
        <v>28.412494009084654</v>
      </c>
      <c r="CF95" s="143">
        <f t="shared" si="91"/>
        <v>28.412494009084654</v>
      </c>
      <c r="CG95" s="143">
        <f t="shared" si="91"/>
        <v>28.412494009084654</v>
      </c>
      <c r="CH95" s="143">
        <f t="shared" si="91"/>
        <v>28.412494009084654</v>
      </c>
      <c r="CI95" s="143">
        <f t="shared" si="91"/>
        <v>28.412494009084654</v>
      </c>
      <c r="CJ95" s="143">
        <f t="shared" si="91"/>
        <v>28.412494009084654</v>
      </c>
      <c r="CK95" s="143">
        <f t="shared" si="91"/>
        <v>28.412494009084654</v>
      </c>
      <c r="CL95" s="143">
        <f t="shared" si="91"/>
        <v>28.412494009084654</v>
      </c>
      <c r="CM95" s="143">
        <f t="shared" si="91"/>
        <v>28.412494009084654</v>
      </c>
      <c r="CN95" s="143">
        <f t="shared" si="91"/>
        <v>28.412494009084654</v>
      </c>
      <c r="CO95" s="143">
        <f t="shared" si="91"/>
        <v>28.412494009084654</v>
      </c>
      <c r="CP95" s="143">
        <f t="shared" si="91"/>
        <v>28.412494009084654</v>
      </c>
      <c r="CQ95" s="143">
        <f t="shared" si="91"/>
        <v>28.412494009084654</v>
      </c>
      <c r="CR95" s="143">
        <f t="shared" si="91"/>
        <v>28.412494009084654</v>
      </c>
      <c r="CS95" s="143">
        <f t="shared" si="91"/>
        <v>28.412494009084654</v>
      </c>
      <c r="CT95" s="143">
        <f t="shared" si="91"/>
        <v>28.412494009084654</v>
      </c>
      <c r="CU95" s="143">
        <f t="shared" si="91"/>
        <v>28.412494009084654</v>
      </c>
      <c r="CV95" s="143">
        <f t="shared" si="91"/>
        <v>28.412494009084654</v>
      </c>
      <c r="CW95" s="143">
        <f t="shared" si="91"/>
        <v>28.412494009084654</v>
      </c>
      <c r="CX95" s="143">
        <f aca="true" t="shared" si="92" ref="CX95:DV95">2*SQRT(alpha.y*X_SWLoad)</f>
        <v>28.412494009084654</v>
      </c>
      <c r="CY95" s="143">
        <f t="shared" si="92"/>
        <v>28.412494009084654</v>
      </c>
      <c r="CZ95" s="143">
        <f t="shared" si="92"/>
        <v>28.412494009084654</v>
      </c>
      <c r="DA95" s="143">
        <f t="shared" si="92"/>
        <v>28.412494009084654</v>
      </c>
      <c r="DB95" s="143">
        <f t="shared" si="92"/>
        <v>28.412494009084654</v>
      </c>
      <c r="DC95" s="143">
        <f t="shared" si="92"/>
        <v>28.412494009084654</v>
      </c>
      <c r="DD95" s="143">
        <f t="shared" si="92"/>
        <v>28.412494009084654</v>
      </c>
      <c r="DE95" s="143">
        <f t="shared" si="92"/>
        <v>28.412494009084654</v>
      </c>
      <c r="DF95" s="143">
        <f t="shared" si="92"/>
        <v>28.412494009084654</v>
      </c>
      <c r="DG95" s="143">
        <f t="shared" si="92"/>
        <v>28.412494009084654</v>
      </c>
      <c r="DH95" s="143">
        <f t="shared" si="92"/>
        <v>28.412494009084654</v>
      </c>
      <c r="DI95" s="143">
        <f t="shared" si="92"/>
        <v>28.412494009084654</v>
      </c>
      <c r="DJ95" s="143">
        <f t="shared" si="92"/>
        <v>28.412494009084654</v>
      </c>
      <c r="DK95" s="143">
        <f t="shared" si="92"/>
        <v>28.412494009084654</v>
      </c>
      <c r="DL95" s="143">
        <f t="shared" si="92"/>
        <v>28.412494009084654</v>
      </c>
      <c r="DM95" s="143">
        <f t="shared" si="92"/>
        <v>28.412494009084654</v>
      </c>
      <c r="DN95" s="143">
        <f t="shared" si="92"/>
        <v>28.412494009084654</v>
      </c>
      <c r="DO95" s="143">
        <f t="shared" si="92"/>
        <v>28.412494009084654</v>
      </c>
      <c r="DP95" s="143">
        <f t="shared" si="92"/>
        <v>28.412494009084654</v>
      </c>
      <c r="DQ95" s="143">
        <f t="shared" si="92"/>
        <v>28.412494009084654</v>
      </c>
      <c r="DR95" s="143">
        <f t="shared" si="92"/>
        <v>28.412494009084654</v>
      </c>
      <c r="DS95" s="143">
        <f t="shared" si="92"/>
        <v>28.412494009084654</v>
      </c>
      <c r="DT95" s="143">
        <f t="shared" si="92"/>
        <v>28.412494009084654</v>
      </c>
      <c r="DU95" s="143">
        <f t="shared" si="92"/>
        <v>28.412494009084654</v>
      </c>
      <c r="DV95" s="143">
        <f t="shared" si="92"/>
        <v>28.412494009084654</v>
      </c>
    </row>
    <row r="96" spans="2:126" ht="12.75">
      <c r="B96" s="109" t="s">
        <v>449</v>
      </c>
      <c r="E96" s="132"/>
      <c r="F96" s="143">
        <f aca="true" t="shared" si="93" ref="F96:AK96">2*SQRT($J$81*X_SWLoad)</f>
        <v>14.206247004542327</v>
      </c>
      <c r="G96" s="143">
        <f t="shared" si="93"/>
        <v>14.206247004542327</v>
      </c>
      <c r="H96" s="143">
        <f t="shared" si="93"/>
        <v>14.206247004542327</v>
      </c>
      <c r="I96" s="143">
        <f t="shared" si="93"/>
        <v>14.206247004542327</v>
      </c>
      <c r="J96" s="143">
        <f t="shared" si="93"/>
        <v>14.206247004542327</v>
      </c>
      <c r="K96" s="143">
        <f t="shared" si="93"/>
        <v>14.206247004542327</v>
      </c>
      <c r="L96" s="143">
        <f t="shared" si="93"/>
        <v>14.206247004542327</v>
      </c>
      <c r="M96" s="143">
        <f t="shared" si="93"/>
        <v>14.206247004542327</v>
      </c>
      <c r="N96" s="143">
        <f t="shared" si="93"/>
        <v>14.206247004542327</v>
      </c>
      <c r="O96" s="143">
        <f t="shared" si="93"/>
        <v>14.206247004542327</v>
      </c>
      <c r="P96" s="143">
        <f t="shared" si="93"/>
        <v>14.206247004542327</v>
      </c>
      <c r="Q96" s="143">
        <f t="shared" si="93"/>
        <v>14.206247004542327</v>
      </c>
      <c r="R96" s="143">
        <f t="shared" si="93"/>
        <v>14.206247004542327</v>
      </c>
      <c r="S96" s="143">
        <f t="shared" si="93"/>
        <v>14.206247004542327</v>
      </c>
      <c r="T96" s="143">
        <f t="shared" si="93"/>
        <v>14.206247004542327</v>
      </c>
      <c r="U96" s="143">
        <f t="shared" si="93"/>
        <v>14.206247004542327</v>
      </c>
      <c r="V96" s="143">
        <f t="shared" si="93"/>
        <v>14.206247004542327</v>
      </c>
      <c r="W96" s="143">
        <f t="shared" si="93"/>
        <v>14.206247004542327</v>
      </c>
      <c r="X96" s="143">
        <f t="shared" si="93"/>
        <v>14.206247004542327</v>
      </c>
      <c r="Y96" s="143">
        <f t="shared" si="93"/>
        <v>14.206247004542327</v>
      </c>
      <c r="Z96" s="143">
        <f t="shared" si="93"/>
        <v>14.206247004542327</v>
      </c>
      <c r="AA96" s="143">
        <f t="shared" si="93"/>
        <v>14.206247004542327</v>
      </c>
      <c r="AB96" s="143">
        <f t="shared" si="93"/>
        <v>14.206247004542327</v>
      </c>
      <c r="AC96" s="143">
        <f t="shared" si="93"/>
        <v>14.206247004542327</v>
      </c>
      <c r="AD96" s="143">
        <f t="shared" si="93"/>
        <v>14.206247004542327</v>
      </c>
      <c r="AE96" s="143">
        <f t="shared" si="93"/>
        <v>14.206247004542327</v>
      </c>
      <c r="AF96" s="143">
        <f t="shared" si="93"/>
        <v>14.206247004542327</v>
      </c>
      <c r="AG96" s="143">
        <f t="shared" si="93"/>
        <v>14.206247004542327</v>
      </c>
      <c r="AH96" s="143">
        <f t="shared" si="93"/>
        <v>14.206247004542327</v>
      </c>
      <c r="AI96" s="143">
        <f t="shared" si="93"/>
        <v>14.206247004542327</v>
      </c>
      <c r="AJ96" s="143">
        <f t="shared" si="93"/>
        <v>14.206247004542327</v>
      </c>
      <c r="AK96" s="143">
        <f t="shared" si="93"/>
        <v>14.206247004542327</v>
      </c>
      <c r="AL96" s="143">
        <f aca="true" t="shared" si="94" ref="AL96:BQ96">2*SQRT($J$81*X_SWLoad)</f>
        <v>14.206247004542327</v>
      </c>
      <c r="AM96" s="143">
        <f t="shared" si="94"/>
        <v>14.206247004542327</v>
      </c>
      <c r="AN96" s="143">
        <f t="shared" si="94"/>
        <v>14.206247004542327</v>
      </c>
      <c r="AO96" s="143">
        <f t="shared" si="94"/>
        <v>14.206247004542327</v>
      </c>
      <c r="AP96" s="143">
        <f t="shared" si="94"/>
        <v>14.206247004542327</v>
      </c>
      <c r="AQ96" s="143">
        <f t="shared" si="94"/>
        <v>14.206247004542327</v>
      </c>
      <c r="AR96" s="143">
        <f t="shared" si="94"/>
        <v>14.206247004542327</v>
      </c>
      <c r="AS96" s="143">
        <f t="shared" si="94"/>
        <v>14.206247004542327</v>
      </c>
      <c r="AT96" s="143">
        <f t="shared" si="94"/>
        <v>14.206247004542327</v>
      </c>
      <c r="AU96" s="143">
        <f t="shared" si="94"/>
        <v>14.206247004542327</v>
      </c>
      <c r="AV96" s="143">
        <f t="shared" si="94"/>
        <v>14.206247004542327</v>
      </c>
      <c r="AW96" s="143">
        <f t="shared" si="94"/>
        <v>14.206247004542327</v>
      </c>
      <c r="AX96" s="143">
        <f t="shared" si="94"/>
        <v>14.206247004542327</v>
      </c>
      <c r="AY96" s="143">
        <f t="shared" si="94"/>
        <v>14.206247004542327</v>
      </c>
      <c r="AZ96" s="143">
        <f t="shared" si="94"/>
        <v>14.206247004542327</v>
      </c>
      <c r="BA96" s="143">
        <f t="shared" si="94"/>
        <v>14.206247004542327</v>
      </c>
      <c r="BB96" s="143">
        <f t="shared" si="94"/>
        <v>14.206247004542327</v>
      </c>
      <c r="BC96" s="143">
        <f t="shared" si="94"/>
        <v>14.206247004542327</v>
      </c>
      <c r="BD96" s="143">
        <f t="shared" si="94"/>
        <v>14.206247004542327</v>
      </c>
      <c r="BE96" s="143">
        <f t="shared" si="94"/>
        <v>14.206247004542327</v>
      </c>
      <c r="BF96" s="143">
        <f t="shared" si="94"/>
        <v>14.206247004542327</v>
      </c>
      <c r="BG96" s="143">
        <f t="shared" si="94"/>
        <v>14.206247004542327</v>
      </c>
      <c r="BH96" s="143">
        <f t="shared" si="94"/>
        <v>14.206247004542327</v>
      </c>
      <c r="BI96" s="143">
        <f t="shared" si="94"/>
        <v>14.206247004542327</v>
      </c>
      <c r="BJ96" s="143">
        <f t="shared" si="94"/>
        <v>14.206247004542327</v>
      </c>
      <c r="BK96" s="143">
        <f t="shared" si="94"/>
        <v>14.206247004542327</v>
      </c>
      <c r="BL96" s="143">
        <f t="shared" si="94"/>
        <v>14.206247004542327</v>
      </c>
      <c r="BM96" s="143">
        <f t="shared" si="94"/>
        <v>14.206247004542327</v>
      </c>
      <c r="BN96" s="143">
        <f t="shared" si="94"/>
        <v>14.206247004542327</v>
      </c>
      <c r="BO96" s="143">
        <f t="shared" si="94"/>
        <v>14.206247004542327</v>
      </c>
      <c r="BP96" s="143">
        <f t="shared" si="94"/>
        <v>14.206247004542327</v>
      </c>
      <c r="BQ96" s="143">
        <f t="shared" si="94"/>
        <v>14.206247004542327</v>
      </c>
      <c r="BR96" s="143">
        <f aca="true" t="shared" si="95" ref="BR96:CW96">2*SQRT($J$81*X_SWLoad)</f>
        <v>14.206247004542327</v>
      </c>
      <c r="BS96" s="143">
        <f t="shared" si="95"/>
        <v>14.206247004542327</v>
      </c>
      <c r="BT96" s="143">
        <f t="shared" si="95"/>
        <v>14.206247004542327</v>
      </c>
      <c r="BU96" s="143">
        <f t="shared" si="95"/>
        <v>14.206247004542327</v>
      </c>
      <c r="BV96" s="143">
        <f t="shared" si="95"/>
        <v>14.206247004542327</v>
      </c>
      <c r="BW96" s="143">
        <f t="shared" si="95"/>
        <v>14.206247004542327</v>
      </c>
      <c r="BX96" s="143">
        <f t="shared" si="95"/>
        <v>14.206247004542327</v>
      </c>
      <c r="BY96" s="143">
        <f t="shared" si="95"/>
        <v>14.206247004542327</v>
      </c>
      <c r="BZ96" s="143">
        <f t="shared" si="95"/>
        <v>14.206247004542327</v>
      </c>
      <c r="CA96" s="143">
        <f t="shared" si="95"/>
        <v>14.206247004542327</v>
      </c>
      <c r="CB96" s="143">
        <f t="shared" si="95"/>
        <v>14.206247004542327</v>
      </c>
      <c r="CC96" s="143">
        <f t="shared" si="95"/>
        <v>14.206247004542327</v>
      </c>
      <c r="CD96" s="143">
        <f t="shared" si="95"/>
        <v>14.206247004542327</v>
      </c>
      <c r="CE96" s="143">
        <f t="shared" si="95"/>
        <v>14.206247004542327</v>
      </c>
      <c r="CF96" s="143">
        <f t="shared" si="95"/>
        <v>14.206247004542327</v>
      </c>
      <c r="CG96" s="143">
        <f t="shared" si="95"/>
        <v>14.206247004542327</v>
      </c>
      <c r="CH96" s="143">
        <f t="shared" si="95"/>
        <v>14.206247004542327</v>
      </c>
      <c r="CI96" s="143">
        <f t="shared" si="95"/>
        <v>14.206247004542327</v>
      </c>
      <c r="CJ96" s="143">
        <f t="shared" si="95"/>
        <v>14.206247004542327</v>
      </c>
      <c r="CK96" s="143">
        <f t="shared" si="95"/>
        <v>14.206247004542327</v>
      </c>
      <c r="CL96" s="143">
        <f t="shared" si="95"/>
        <v>14.206247004542327</v>
      </c>
      <c r="CM96" s="143">
        <f t="shared" si="95"/>
        <v>14.206247004542327</v>
      </c>
      <c r="CN96" s="143">
        <f t="shared" si="95"/>
        <v>14.206247004542327</v>
      </c>
      <c r="CO96" s="143">
        <f t="shared" si="95"/>
        <v>14.206247004542327</v>
      </c>
      <c r="CP96" s="143">
        <f t="shared" si="95"/>
        <v>14.206247004542327</v>
      </c>
      <c r="CQ96" s="143">
        <f t="shared" si="95"/>
        <v>14.206247004542327</v>
      </c>
      <c r="CR96" s="143">
        <f t="shared" si="95"/>
        <v>14.206247004542327</v>
      </c>
      <c r="CS96" s="143">
        <f t="shared" si="95"/>
        <v>14.206247004542327</v>
      </c>
      <c r="CT96" s="143">
        <f t="shared" si="95"/>
        <v>14.206247004542327</v>
      </c>
      <c r="CU96" s="143">
        <f t="shared" si="95"/>
        <v>14.206247004542327</v>
      </c>
      <c r="CV96" s="143">
        <f t="shared" si="95"/>
        <v>14.206247004542327</v>
      </c>
      <c r="CW96" s="143">
        <f t="shared" si="95"/>
        <v>14.206247004542327</v>
      </c>
      <c r="CX96" s="143">
        <f aca="true" t="shared" si="96" ref="CX96:DV96">2*SQRT($J$81*X_SWLoad)</f>
        <v>14.206247004542327</v>
      </c>
      <c r="CY96" s="143">
        <f t="shared" si="96"/>
        <v>14.206247004542327</v>
      </c>
      <c r="CZ96" s="143">
        <f t="shared" si="96"/>
        <v>14.206247004542327</v>
      </c>
      <c r="DA96" s="143">
        <f t="shared" si="96"/>
        <v>14.206247004542327</v>
      </c>
      <c r="DB96" s="143">
        <f t="shared" si="96"/>
        <v>14.206247004542327</v>
      </c>
      <c r="DC96" s="143">
        <f t="shared" si="96"/>
        <v>14.206247004542327</v>
      </c>
      <c r="DD96" s="143">
        <f t="shared" si="96"/>
        <v>14.206247004542327</v>
      </c>
      <c r="DE96" s="143">
        <f t="shared" si="96"/>
        <v>14.206247004542327</v>
      </c>
      <c r="DF96" s="143">
        <f t="shared" si="96"/>
        <v>14.206247004542327</v>
      </c>
      <c r="DG96" s="143">
        <f t="shared" si="96"/>
        <v>14.206247004542327</v>
      </c>
      <c r="DH96" s="143">
        <f t="shared" si="96"/>
        <v>14.206247004542327</v>
      </c>
      <c r="DI96" s="143">
        <f t="shared" si="96"/>
        <v>14.206247004542327</v>
      </c>
      <c r="DJ96" s="143">
        <f t="shared" si="96"/>
        <v>14.206247004542327</v>
      </c>
      <c r="DK96" s="143">
        <f t="shared" si="96"/>
        <v>14.206247004542327</v>
      </c>
      <c r="DL96" s="143">
        <f t="shared" si="96"/>
        <v>14.206247004542327</v>
      </c>
      <c r="DM96" s="143">
        <f t="shared" si="96"/>
        <v>14.206247004542327</v>
      </c>
      <c r="DN96" s="143">
        <f t="shared" si="96"/>
        <v>14.206247004542327</v>
      </c>
      <c r="DO96" s="143">
        <f t="shared" si="96"/>
        <v>14.206247004542327</v>
      </c>
      <c r="DP96" s="143">
        <f t="shared" si="96"/>
        <v>14.206247004542327</v>
      </c>
      <c r="DQ96" s="143">
        <f t="shared" si="96"/>
        <v>14.206247004542327</v>
      </c>
      <c r="DR96" s="143">
        <f t="shared" si="96"/>
        <v>14.206247004542327</v>
      </c>
      <c r="DS96" s="143">
        <f t="shared" si="96"/>
        <v>14.206247004542327</v>
      </c>
      <c r="DT96" s="143">
        <f t="shared" si="96"/>
        <v>14.206247004542327</v>
      </c>
      <c r="DU96" s="143">
        <f t="shared" si="96"/>
        <v>14.206247004542327</v>
      </c>
      <c r="DV96" s="143">
        <f t="shared" si="96"/>
        <v>14.206247004542327</v>
      </c>
    </row>
    <row r="97" spans="2:126" ht="12.75">
      <c r="B97" s="109" t="s">
        <v>450</v>
      </c>
      <c r="E97" s="132"/>
      <c r="F97" s="143">
        <f>(F86+$J$82/2)/F95</f>
        <v>3.079631093702039</v>
      </c>
      <c r="G97" s="143">
        <f aca="true" t="shared" si="97" ref="G97:P97">(G86+$J$82/2)/G95</f>
        <v>3.5195783928023303</v>
      </c>
      <c r="H97" s="143">
        <f t="shared" si="97"/>
        <v>3.9595256919026216</v>
      </c>
      <c r="I97" s="143">
        <f t="shared" si="97"/>
        <v>4.399472991002913</v>
      </c>
      <c r="J97" s="143">
        <f t="shared" si="97"/>
        <v>4.839420290103204</v>
      </c>
      <c r="K97" s="143">
        <f t="shared" si="97"/>
        <v>5.2793675892034955</v>
      </c>
      <c r="L97" s="143">
        <f t="shared" si="97"/>
        <v>5.719314888303787</v>
      </c>
      <c r="M97" s="143">
        <f t="shared" si="97"/>
        <v>6.159262187404078</v>
      </c>
      <c r="N97" s="143">
        <f t="shared" si="97"/>
        <v>6.599209486504369</v>
      </c>
      <c r="O97" s="143">
        <f t="shared" si="97"/>
        <v>7.039156785604661</v>
      </c>
      <c r="P97" s="143">
        <f t="shared" si="97"/>
        <v>7.479104084704952</v>
      </c>
      <c r="Q97" s="143">
        <f aca="true" t="shared" si="98" ref="Q97:AA97">(Q86+$J$82/2)/Q95</f>
        <v>3.079631093702039</v>
      </c>
      <c r="R97" s="143">
        <f t="shared" si="98"/>
        <v>3.5195783928023303</v>
      </c>
      <c r="S97" s="143">
        <f t="shared" si="98"/>
        <v>3.9595256919026216</v>
      </c>
      <c r="T97" s="143">
        <f t="shared" si="98"/>
        <v>4.399472991002913</v>
      </c>
      <c r="U97" s="143">
        <f t="shared" si="98"/>
        <v>4.839420290103204</v>
      </c>
      <c r="V97" s="143">
        <f t="shared" si="98"/>
        <v>5.2793675892034955</v>
      </c>
      <c r="W97" s="143">
        <f t="shared" si="98"/>
        <v>5.719314888303787</v>
      </c>
      <c r="X97" s="143">
        <f t="shared" si="98"/>
        <v>6.159262187404078</v>
      </c>
      <c r="Y97" s="143">
        <f t="shared" si="98"/>
        <v>6.599209486504369</v>
      </c>
      <c r="Z97" s="143">
        <f t="shared" si="98"/>
        <v>7.039156785604661</v>
      </c>
      <c r="AA97" s="143">
        <f t="shared" si="98"/>
        <v>7.479104084704952</v>
      </c>
      <c r="AB97" s="143">
        <f aca="true" t="shared" si="99" ref="AB97:AM97">(AB86+$J$82/2)/AB95</f>
        <v>3.079631093702039</v>
      </c>
      <c r="AC97" s="143">
        <f t="shared" si="99"/>
        <v>3.5195783928023303</v>
      </c>
      <c r="AD97" s="143">
        <f t="shared" si="99"/>
        <v>3.9595256919026216</v>
      </c>
      <c r="AE97" s="143">
        <f t="shared" si="99"/>
        <v>4.399472991002913</v>
      </c>
      <c r="AF97" s="143">
        <f t="shared" si="99"/>
        <v>4.839420290103204</v>
      </c>
      <c r="AG97" s="143">
        <f t="shared" si="99"/>
        <v>5.2793675892034955</v>
      </c>
      <c r="AH97" s="143">
        <f t="shared" si="99"/>
        <v>5.719314888303787</v>
      </c>
      <c r="AI97" s="143">
        <f t="shared" si="99"/>
        <v>6.159262187404078</v>
      </c>
      <c r="AJ97" s="143">
        <f t="shared" si="99"/>
        <v>6.599209486504369</v>
      </c>
      <c r="AK97" s="143">
        <f t="shared" si="99"/>
        <v>7.039156785604661</v>
      </c>
      <c r="AL97" s="143">
        <f t="shared" si="99"/>
        <v>7.479104084704952</v>
      </c>
      <c r="AM97" s="143">
        <f t="shared" si="99"/>
        <v>3.079631093702039</v>
      </c>
      <c r="AN97" s="143">
        <f aca="true" t="shared" si="100" ref="AN97:AX97">(AN86+$J$82/2)/AN95</f>
        <v>3.5195783928023303</v>
      </c>
      <c r="AO97" s="143">
        <f t="shared" si="100"/>
        <v>3.9595256919026216</v>
      </c>
      <c r="AP97" s="143">
        <f t="shared" si="100"/>
        <v>4.399472991002913</v>
      </c>
      <c r="AQ97" s="143">
        <f t="shared" si="100"/>
        <v>4.839420290103204</v>
      </c>
      <c r="AR97" s="143">
        <f t="shared" si="100"/>
        <v>5.2793675892034955</v>
      </c>
      <c r="AS97" s="143">
        <f t="shared" si="100"/>
        <v>5.719314888303787</v>
      </c>
      <c r="AT97" s="143">
        <f t="shared" si="100"/>
        <v>6.159262187404078</v>
      </c>
      <c r="AU97" s="143">
        <f t="shared" si="100"/>
        <v>6.599209486504369</v>
      </c>
      <c r="AV97" s="143">
        <f t="shared" si="100"/>
        <v>7.039156785604661</v>
      </c>
      <c r="AW97" s="143">
        <f t="shared" si="100"/>
        <v>7.479104084704952</v>
      </c>
      <c r="AX97" s="143">
        <f t="shared" si="100"/>
        <v>3.079631093702039</v>
      </c>
      <c r="AY97" s="143">
        <f aca="true" t="shared" si="101" ref="AY97:BI97">(AY86+$J$82/2)/AY95</f>
        <v>3.5195783928023303</v>
      </c>
      <c r="AZ97" s="143">
        <f t="shared" si="101"/>
        <v>3.9595256919026216</v>
      </c>
      <c r="BA97" s="143">
        <f t="shared" si="101"/>
        <v>4.399472991002913</v>
      </c>
      <c r="BB97" s="143">
        <f t="shared" si="101"/>
        <v>4.839420290103204</v>
      </c>
      <c r="BC97" s="143">
        <f t="shared" si="101"/>
        <v>5.2793675892034955</v>
      </c>
      <c r="BD97" s="143">
        <f t="shared" si="101"/>
        <v>5.719314888303787</v>
      </c>
      <c r="BE97" s="143">
        <f t="shared" si="101"/>
        <v>6.159262187404078</v>
      </c>
      <c r="BF97" s="143">
        <f t="shared" si="101"/>
        <v>6.599209486504369</v>
      </c>
      <c r="BG97" s="143">
        <f t="shared" si="101"/>
        <v>7.039156785604661</v>
      </c>
      <c r="BH97" s="143">
        <f t="shared" si="101"/>
        <v>7.479104084704952</v>
      </c>
      <c r="BI97" s="143">
        <f t="shared" si="101"/>
        <v>3.079631093702039</v>
      </c>
      <c r="BJ97" s="143">
        <f aca="true" t="shared" si="102" ref="BJ97:BT97">(BJ86+$J$82/2)/BJ95</f>
        <v>3.5195783928023303</v>
      </c>
      <c r="BK97" s="143">
        <f t="shared" si="102"/>
        <v>3.9595256919026216</v>
      </c>
      <c r="BL97" s="143">
        <f t="shared" si="102"/>
        <v>4.399472991002913</v>
      </c>
      <c r="BM97" s="143">
        <f t="shared" si="102"/>
        <v>4.839420290103204</v>
      </c>
      <c r="BN97" s="143">
        <f t="shared" si="102"/>
        <v>5.2793675892034955</v>
      </c>
      <c r="BO97" s="143">
        <f t="shared" si="102"/>
        <v>5.719314888303787</v>
      </c>
      <c r="BP97" s="143">
        <f t="shared" si="102"/>
        <v>6.159262187404078</v>
      </c>
      <c r="BQ97" s="143">
        <f t="shared" si="102"/>
        <v>6.599209486504369</v>
      </c>
      <c r="BR97" s="143">
        <f t="shared" si="102"/>
        <v>7.039156785604661</v>
      </c>
      <c r="BS97" s="143">
        <f t="shared" si="102"/>
        <v>7.479104084704952</v>
      </c>
      <c r="BT97" s="143">
        <f t="shared" si="102"/>
        <v>3.079631093702039</v>
      </c>
      <c r="BU97" s="143">
        <f aca="true" t="shared" si="103" ref="BU97:CE97">(BU86+$J$82/2)/BU95</f>
        <v>3.5195783928023303</v>
      </c>
      <c r="BV97" s="143">
        <f t="shared" si="103"/>
        <v>3.9595256919026216</v>
      </c>
      <c r="BW97" s="143">
        <f t="shared" si="103"/>
        <v>4.399472991002913</v>
      </c>
      <c r="BX97" s="143">
        <f t="shared" si="103"/>
        <v>4.839420290103204</v>
      </c>
      <c r="BY97" s="143">
        <f t="shared" si="103"/>
        <v>5.2793675892034955</v>
      </c>
      <c r="BZ97" s="143">
        <f t="shared" si="103"/>
        <v>5.719314888303787</v>
      </c>
      <c r="CA97" s="143">
        <f t="shared" si="103"/>
        <v>6.159262187404078</v>
      </c>
      <c r="CB97" s="143">
        <f t="shared" si="103"/>
        <v>6.599209486504369</v>
      </c>
      <c r="CC97" s="143">
        <f t="shared" si="103"/>
        <v>7.039156785604661</v>
      </c>
      <c r="CD97" s="143">
        <f t="shared" si="103"/>
        <v>7.479104084704952</v>
      </c>
      <c r="CE97" s="143">
        <f t="shared" si="103"/>
        <v>3.079631093702039</v>
      </c>
      <c r="CF97" s="143">
        <f aca="true" t="shared" si="104" ref="CF97:CP97">(CF86+$J$82/2)/CF95</f>
        <v>3.5195783928023303</v>
      </c>
      <c r="CG97" s="143">
        <f t="shared" si="104"/>
        <v>3.9595256919026216</v>
      </c>
      <c r="CH97" s="143">
        <f t="shared" si="104"/>
        <v>4.399472991002913</v>
      </c>
      <c r="CI97" s="143">
        <f t="shared" si="104"/>
        <v>4.839420290103204</v>
      </c>
      <c r="CJ97" s="143">
        <f t="shared" si="104"/>
        <v>5.2793675892034955</v>
      </c>
      <c r="CK97" s="143">
        <f t="shared" si="104"/>
        <v>5.719314888303787</v>
      </c>
      <c r="CL97" s="143">
        <f t="shared" si="104"/>
        <v>6.159262187404078</v>
      </c>
      <c r="CM97" s="143">
        <f t="shared" si="104"/>
        <v>6.599209486504369</v>
      </c>
      <c r="CN97" s="143">
        <f t="shared" si="104"/>
        <v>7.039156785604661</v>
      </c>
      <c r="CO97" s="143">
        <f t="shared" si="104"/>
        <v>7.479104084704952</v>
      </c>
      <c r="CP97" s="143">
        <f t="shared" si="104"/>
        <v>3.079631093702039</v>
      </c>
      <c r="CQ97" s="143">
        <f aca="true" t="shared" si="105" ref="CQ97:DA97">(CQ86+$J$82/2)/CQ95</f>
        <v>3.5195783928023303</v>
      </c>
      <c r="CR97" s="143">
        <f t="shared" si="105"/>
        <v>3.9595256919026216</v>
      </c>
      <c r="CS97" s="143">
        <f t="shared" si="105"/>
        <v>4.399472991002913</v>
      </c>
      <c r="CT97" s="143">
        <f t="shared" si="105"/>
        <v>4.839420290103204</v>
      </c>
      <c r="CU97" s="143">
        <f t="shared" si="105"/>
        <v>5.2793675892034955</v>
      </c>
      <c r="CV97" s="143">
        <f t="shared" si="105"/>
        <v>5.719314888303787</v>
      </c>
      <c r="CW97" s="143">
        <f t="shared" si="105"/>
        <v>6.159262187404078</v>
      </c>
      <c r="CX97" s="143">
        <f t="shared" si="105"/>
        <v>6.599209486504369</v>
      </c>
      <c r="CY97" s="143">
        <f t="shared" si="105"/>
        <v>7.039156785604661</v>
      </c>
      <c r="CZ97" s="143">
        <f t="shared" si="105"/>
        <v>7.479104084704952</v>
      </c>
      <c r="DA97" s="143">
        <f t="shared" si="105"/>
        <v>3.079631093702039</v>
      </c>
      <c r="DB97" s="143">
        <f aca="true" t="shared" si="106" ref="DB97:DK97">(DB86+$J$82/2)/DB95</f>
        <v>3.5195783928023303</v>
      </c>
      <c r="DC97" s="143">
        <f t="shared" si="106"/>
        <v>3.9595256919026216</v>
      </c>
      <c r="DD97" s="143">
        <f t="shared" si="106"/>
        <v>4.399472991002913</v>
      </c>
      <c r="DE97" s="143">
        <f t="shared" si="106"/>
        <v>4.839420290103204</v>
      </c>
      <c r="DF97" s="143">
        <f t="shared" si="106"/>
        <v>5.2793675892034955</v>
      </c>
      <c r="DG97" s="143">
        <f t="shared" si="106"/>
        <v>5.719314888303787</v>
      </c>
      <c r="DH97" s="143">
        <f t="shared" si="106"/>
        <v>6.159262187404078</v>
      </c>
      <c r="DI97" s="143">
        <f t="shared" si="106"/>
        <v>6.599209486504369</v>
      </c>
      <c r="DJ97" s="143">
        <f t="shared" si="106"/>
        <v>7.039156785604661</v>
      </c>
      <c r="DK97" s="143">
        <f t="shared" si="106"/>
        <v>7.479104084704952</v>
      </c>
      <c r="DL97" s="143">
        <f aca="true" t="shared" si="107" ref="DL97:DV97">(DL86+$J$82/2)/DL95</f>
        <v>3.079631093702039</v>
      </c>
      <c r="DM97" s="143">
        <f t="shared" si="107"/>
        <v>3.5195783928023303</v>
      </c>
      <c r="DN97" s="143">
        <f t="shared" si="107"/>
        <v>3.9595256919026216</v>
      </c>
      <c r="DO97" s="143">
        <f t="shared" si="107"/>
        <v>4.399472991002913</v>
      </c>
      <c r="DP97" s="143">
        <f t="shared" si="107"/>
        <v>4.839420290103204</v>
      </c>
      <c r="DQ97" s="143">
        <f t="shared" si="107"/>
        <v>5.2793675892034955</v>
      </c>
      <c r="DR97" s="143">
        <f t="shared" si="107"/>
        <v>5.719314888303787</v>
      </c>
      <c r="DS97" s="143">
        <f t="shared" si="107"/>
        <v>6.159262187404078</v>
      </c>
      <c r="DT97" s="143">
        <f t="shared" si="107"/>
        <v>6.599209486504369</v>
      </c>
      <c r="DU97" s="143">
        <f t="shared" si="107"/>
        <v>7.039156785604661</v>
      </c>
      <c r="DV97" s="143">
        <f t="shared" si="107"/>
        <v>7.479104084704952</v>
      </c>
    </row>
    <row r="98" spans="2:126" ht="12.75">
      <c r="B98" s="109" t="s">
        <v>451</v>
      </c>
      <c r="E98" s="132"/>
      <c r="F98" s="143">
        <f>(F86-$J$82/2)/F95</f>
        <v>-3.079631093702039</v>
      </c>
      <c r="G98" s="143">
        <f aca="true" t="shared" si="108" ref="G98:P98">(G86-$J$82/2)/G95</f>
        <v>-2.6396837946017477</v>
      </c>
      <c r="H98" s="143">
        <f t="shared" si="108"/>
        <v>-2.1997364955014564</v>
      </c>
      <c r="I98" s="143">
        <f t="shared" si="108"/>
        <v>-1.7597891964011652</v>
      </c>
      <c r="J98" s="143">
        <f t="shared" si="108"/>
        <v>-1.3198418973008739</v>
      </c>
      <c r="K98" s="143">
        <f t="shared" si="108"/>
        <v>-0.8798945982005826</v>
      </c>
      <c r="L98" s="143">
        <f t="shared" si="108"/>
        <v>-0.4399472991002913</v>
      </c>
      <c r="M98" s="143">
        <f t="shared" si="108"/>
        <v>0</v>
      </c>
      <c r="N98" s="143">
        <f t="shared" si="108"/>
        <v>0.4399472991002913</v>
      </c>
      <c r="O98" s="143">
        <f t="shared" si="108"/>
        <v>0.8798945982005826</v>
      </c>
      <c r="P98" s="143">
        <f t="shared" si="108"/>
        <v>1.3198418973008739</v>
      </c>
      <c r="Q98" s="143">
        <f aca="true" t="shared" si="109" ref="Q98:AA98">(Q86-$J$82/2)/Q95</f>
        <v>-3.079631093702039</v>
      </c>
      <c r="R98" s="143">
        <f t="shared" si="109"/>
        <v>-2.6396837946017477</v>
      </c>
      <c r="S98" s="143">
        <f t="shared" si="109"/>
        <v>-2.1997364955014564</v>
      </c>
      <c r="T98" s="143">
        <f t="shared" si="109"/>
        <v>-1.7597891964011652</v>
      </c>
      <c r="U98" s="143">
        <f t="shared" si="109"/>
        <v>-1.3198418973008739</v>
      </c>
      <c r="V98" s="143">
        <f t="shared" si="109"/>
        <v>-0.8798945982005826</v>
      </c>
      <c r="W98" s="143">
        <f t="shared" si="109"/>
        <v>-0.4399472991002913</v>
      </c>
      <c r="X98" s="143">
        <f t="shared" si="109"/>
        <v>0</v>
      </c>
      <c r="Y98" s="143">
        <f t="shared" si="109"/>
        <v>0.4399472991002913</v>
      </c>
      <c r="Z98" s="143">
        <f t="shared" si="109"/>
        <v>0.8798945982005826</v>
      </c>
      <c r="AA98" s="143">
        <f t="shared" si="109"/>
        <v>1.3198418973008739</v>
      </c>
      <c r="AB98" s="143">
        <f aca="true" t="shared" si="110" ref="AB98:AM98">(AB86-$J$82/2)/AB95</f>
        <v>-3.079631093702039</v>
      </c>
      <c r="AC98" s="143">
        <f t="shared" si="110"/>
        <v>-2.6396837946017477</v>
      </c>
      <c r="AD98" s="143">
        <f t="shared" si="110"/>
        <v>-2.1997364955014564</v>
      </c>
      <c r="AE98" s="143">
        <f t="shared" si="110"/>
        <v>-1.7597891964011652</v>
      </c>
      <c r="AF98" s="143">
        <f t="shared" si="110"/>
        <v>-1.3198418973008739</v>
      </c>
      <c r="AG98" s="143">
        <f t="shared" si="110"/>
        <v>-0.8798945982005826</v>
      </c>
      <c r="AH98" s="143">
        <f t="shared" si="110"/>
        <v>-0.4399472991002913</v>
      </c>
      <c r="AI98" s="143">
        <f t="shared" si="110"/>
        <v>0</v>
      </c>
      <c r="AJ98" s="143">
        <f t="shared" si="110"/>
        <v>0.4399472991002913</v>
      </c>
      <c r="AK98" s="143">
        <f t="shared" si="110"/>
        <v>0.8798945982005826</v>
      </c>
      <c r="AL98" s="143">
        <f t="shared" si="110"/>
        <v>1.3198418973008739</v>
      </c>
      <c r="AM98" s="143">
        <f t="shared" si="110"/>
        <v>-3.079631093702039</v>
      </c>
      <c r="AN98" s="143">
        <f aca="true" t="shared" si="111" ref="AN98:AX98">(AN86-$J$82/2)/AN95</f>
        <v>-2.6396837946017477</v>
      </c>
      <c r="AO98" s="143">
        <f t="shared" si="111"/>
        <v>-2.1997364955014564</v>
      </c>
      <c r="AP98" s="143">
        <f t="shared" si="111"/>
        <v>-1.7597891964011652</v>
      </c>
      <c r="AQ98" s="143">
        <f t="shared" si="111"/>
        <v>-1.3198418973008739</v>
      </c>
      <c r="AR98" s="143">
        <f t="shared" si="111"/>
        <v>-0.8798945982005826</v>
      </c>
      <c r="AS98" s="143">
        <f t="shared" si="111"/>
        <v>-0.4399472991002913</v>
      </c>
      <c r="AT98" s="143">
        <f t="shared" si="111"/>
        <v>0</v>
      </c>
      <c r="AU98" s="143">
        <f t="shared" si="111"/>
        <v>0.4399472991002913</v>
      </c>
      <c r="AV98" s="143">
        <f t="shared" si="111"/>
        <v>0.8798945982005826</v>
      </c>
      <c r="AW98" s="143">
        <f t="shared" si="111"/>
        <v>1.3198418973008739</v>
      </c>
      <c r="AX98" s="143">
        <f t="shared" si="111"/>
        <v>-3.079631093702039</v>
      </c>
      <c r="AY98" s="143">
        <f aca="true" t="shared" si="112" ref="AY98:BI98">(AY86-$J$82/2)/AY95</f>
        <v>-2.6396837946017477</v>
      </c>
      <c r="AZ98" s="143">
        <f t="shared" si="112"/>
        <v>-2.1997364955014564</v>
      </c>
      <c r="BA98" s="143">
        <f t="shared" si="112"/>
        <v>-1.7597891964011652</v>
      </c>
      <c r="BB98" s="143">
        <f t="shared" si="112"/>
        <v>-1.3198418973008739</v>
      </c>
      <c r="BC98" s="143">
        <f t="shared" si="112"/>
        <v>-0.8798945982005826</v>
      </c>
      <c r="BD98" s="143">
        <f t="shared" si="112"/>
        <v>-0.4399472991002913</v>
      </c>
      <c r="BE98" s="143">
        <f t="shared" si="112"/>
        <v>0</v>
      </c>
      <c r="BF98" s="143">
        <f t="shared" si="112"/>
        <v>0.4399472991002913</v>
      </c>
      <c r="BG98" s="143">
        <f t="shared" si="112"/>
        <v>0.8798945982005826</v>
      </c>
      <c r="BH98" s="143">
        <f t="shared" si="112"/>
        <v>1.3198418973008739</v>
      </c>
      <c r="BI98" s="143">
        <f t="shared" si="112"/>
        <v>-3.079631093702039</v>
      </c>
      <c r="BJ98" s="143">
        <f aca="true" t="shared" si="113" ref="BJ98:BT98">(BJ86-$J$82/2)/BJ95</f>
        <v>-2.6396837946017477</v>
      </c>
      <c r="BK98" s="143">
        <f t="shared" si="113"/>
        <v>-2.1997364955014564</v>
      </c>
      <c r="BL98" s="143">
        <f t="shared" si="113"/>
        <v>-1.7597891964011652</v>
      </c>
      <c r="BM98" s="143">
        <f t="shared" si="113"/>
        <v>-1.3198418973008739</v>
      </c>
      <c r="BN98" s="143">
        <f t="shared" si="113"/>
        <v>-0.8798945982005826</v>
      </c>
      <c r="BO98" s="143">
        <f t="shared" si="113"/>
        <v>-0.4399472991002913</v>
      </c>
      <c r="BP98" s="143">
        <f t="shared" si="113"/>
        <v>0</v>
      </c>
      <c r="BQ98" s="143">
        <f t="shared" si="113"/>
        <v>0.4399472991002913</v>
      </c>
      <c r="BR98" s="143">
        <f t="shared" si="113"/>
        <v>0.8798945982005826</v>
      </c>
      <c r="BS98" s="143">
        <f t="shared" si="113"/>
        <v>1.3198418973008739</v>
      </c>
      <c r="BT98" s="143">
        <f t="shared" si="113"/>
        <v>-3.079631093702039</v>
      </c>
      <c r="BU98" s="143">
        <f aca="true" t="shared" si="114" ref="BU98:CE98">(BU86-$J$82/2)/BU95</f>
        <v>-2.6396837946017477</v>
      </c>
      <c r="BV98" s="143">
        <f t="shared" si="114"/>
        <v>-2.1997364955014564</v>
      </c>
      <c r="BW98" s="143">
        <f t="shared" si="114"/>
        <v>-1.7597891964011652</v>
      </c>
      <c r="BX98" s="143">
        <f t="shared" si="114"/>
        <v>-1.3198418973008739</v>
      </c>
      <c r="BY98" s="143">
        <f t="shared" si="114"/>
        <v>-0.8798945982005826</v>
      </c>
      <c r="BZ98" s="143">
        <f t="shared" si="114"/>
        <v>-0.4399472991002913</v>
      </c>
      <c r="CA98" s="143">
        <f t="shared" si="114"/>
        <v>0</v>
      </c>
      <c r="CB98" s="143">
        <f t="shared" si="114"/>
        <v>0.4399472991002913</v>
      </c>
      <c r="CC98" s="143">
        <f t="shared" si="114"/>
        <v>0.8798945982005826</v>
      </c>
      <c r="CD98" s="143">
        <f t="shared" si="114"/>
        <v>1.3198418973008739</v>
      </c>
      <c r="CE98" s="143">
        <f t="shared" si="114"/>
        <v>-3.079631093702039</v>
      </c>
      <c r="CF98" s="143">
        <f aca="true" t="shared" si="115" ref="CF98:CP98">(CF86-$J$82/2)/CF95</f>
        <v>-2.6396837946017477</v>
      </c>
      <c r="CG98" s="143">
        <f t="shared" si="115"/>
        <v>-2.1997364955014564</v>
      </c>
      <c r="CH98" s="143">
        <f t="shared" si="115"/>
        <v>-1.7597891964011652</v>
      </c>
      <c r="CI98" s="143">
        <f t="shared" si="115"/>
        <v>-1.3198418973008739</v>
      </c>
      <c r="CJ98" s="143">
        <f t="shared" si="115"/>
        <v>-0.8798945982005826</v>
      </c>
      <c r="CK98" s="143">
        <f t="shared" si="115"/>
        <v>-0.4399472991002913</v>
      </c>
      <c r="CL98" s="143">
        <f t="shared" si="115"/>
        <v>0</v>
      </c>
      <c r="CM98" s="143">
        <f t="shared" si="115"/>
        <v>0.4399472991002913</v>
      </c>
      <c r="CN98" s="143">
        <f t="shared" si="115"/>
        <v>0.8798945982005826</v>
      </c>
      <c r="CO98" s="143">
        <f t="shared" si="115"/>
        <v>1.3198418973008739</v>
      </c>
      <c r="CP98" s="143">
        <f t="shared" si="115"/>
        <v>-3.079631093702039</v>
      </c>
      <c r="CQ98" s="143">
        <f aca="true" t="shared" si="116" ref="CQ98:DA98">(CQ86-$J$82/2)/CQ95</f>
        <v>-2.6396837946017477</v>
      </c>
      <c r="CR98" s="143">
        <f t="shared" si="116"/>
        <v>-2.1997364955014564</v>
      </c>
      <c r="CS98" s="143">
        <f t="shared" si="116"/>
        <v>-1.7597891964011652</v>
      </c>
      <c r="CT98" s="143">
        <f t="shared" si="116"/>
        <v>-1.3198418973008739</v>
      </c>
      <c r="CU98" s="143">
        <f t="shared" si="116"/>
        <v>-0.8798945982005826</v>
      </c>
      <c r="CV98" s="143">
        <f t="shared" si="116"/>
        <v>-0.4399472991002913</v>
      </c>
      <c r="CW98" s="143">
        <f t="shared" si="116"/>
        <v>0</v>
      </c>
      <c r="CX98" s="143">
        <f t="shared" si="116"/>
        <v>0.4399472991002913</v>
      </c>
      <c r="CY98" s="143">
        <f t="shared" si="116"/>
        <v>0.8798945982005826</v>
      </c>
      <c r="CZ98" s="143">
        <f t="shared" si="116"/>
        <v>1.3198418973008739</v>
      </c>
      <c r="DA98" s="143">
        <f t="shared" si="116"/>
        <v>-3.079631093702039</v>
      </c>
      <c r="DB98" s="143">
        <f aca="true" t="shared" si="117" ref="DB98:DK98">(DB86-$J$82/2)/DB95</f>
        <v>-2.6396837946017477</v>
      </c>
      <c r="DC98" s="143">
        <f t="shared" si="117"/>
        <v>-2.1997364955014564</v>
      </c>
      <c r="DD98" s="143">
        <f t="shared" si="117"/>
        <v>-1.7597891964011652</v>
      </c>
      <c r="DE98" s="143">
        <f t="shared" si="117"/>
        <v>-1.3198418973008739</v>
      </c>
      <c r="DF98" s="143">
        <f t="shared" si="117"/>
        <v>-0.8798945982005826</v>
      </c>
      <c r="DG98" s="143">
        <f t="shared" si="117"/>
        <v>-0.4399472991002913</v>
      </c>
      <c r="DH98" s="143">
        <f t="shared" si="117"/>
        <v>0</v>
      </c>
      <c r="DI98" s="143">
        <f t="shared" si="117"/>
        <v>0.4399472991002913</v>
      </c>
      <c r="DJ98" s="143">
        <f t="shared" si="117"/>
        <v>0.8798945982005826</v>
      </c>
      <c r="DK98" s="143">
        <f t="shared" si="117"/>
        <v>1.3198418973008739</v>
      </c>
      <c r="DL98" s="143">
        <f aca="true" t="shared" si="118" ref="DL98:DV98">(DL86-$J$82/2)/DL95</f>
        <v>-3.079631093702039</v>
      </c>
      <c r="DM98" s="143">
        <f t="shared" si="118"/>
        <v>-2.6396837946017477</v>
      </c>
      <c r="DN98" s="143">
        <f t="shared" si="118"/>
        <v>-2.1997364955014564</v>
      </c>
      <c r="DO98" s="143">
        <f t="shared" si="118"/>
        <v>-1.7597891964011652</v>
      </c>
      <c r="DP98" s="143">
        <f t="shared" si="118"/>
        <v>-1.3198418973008739</v>
      </c>
      <c r="DQ98" s="143">
        <f t="shared" si="118"/>
        <v>-0.8798945982005826</v>
      </c>
      <c r="DR98" s="143">
        <f t="shared" si="118"/>
        <v>-0.4399472991002913</v>
      </c>
      <c r="DS98" s="143">
        <f t="shared" si="118"/>
        <v>0</v>
      </c>
      <c r="DT98" s="143">
        <f t="shared" si="118"/>
        <v>0.4399472991002913</v>
      </c>
      <c r="DU98" s="143">
        <f t="shared" si="118"/>
        <v>0.8798945982005826</v>
      </c>
      <c r="DV98" s="143">
        <f t="shared" si="118"/>
        <v>1.3198418973008739</v>
      </c>
    </row>
    <row r="99" spans="2:126" ht="12.75">
      <c r="B99" s="109" t="s">
        <v>452</v>
      </c>
      <c r="E99" s="132"/>
      <c r="F99" s="143">
        <f>($F$85+$J$83/2)/F96</f>
        <v>0.351957839280233</v>
      </c>
      <c r="G99" s="143">
        <f aca="true" t="shared" si="119" ref="G99:P99">($F$85+$J$83/2)/G96</f>
        <v>0.351957839280233</v>
      </c>
      <c r="H99" s="143">
        <f t="shared" si="119"/>
        <v>0.351957839280233</v>
      </c>
      <c r="I99" s="143">
        <f t="shared" si="119"/>
        <v>0.351957839280233</v>
      </c>
      <c r="J99" s="143">
        <f t="shared" si="119"/>
        <v>0.351957839280233</v>
      </c>
      <c r="K99" s="143">
        <f t="shared" si="119"/>
        <v>0.351957839280233</v>
      </c>
      <c r="L99" s="143">
        <f t="shared" si="119"/>
        <v>0.351957839280233</v>
      </c>
      <c r="M99" s="143">
        <f t="shared" si="119"/>
        <v>0.351957839280233</v>
      </c>
      <c r="N99" s="143">
        <f t="shared" si="119"/>
        <v>0.351957839280233</v>
      </c>
      <c r="O99" s="143">
        <f t="shared" si="119"/>
        <v>0.351957839280233</v>
      </c>
      <c r="P99" s="143">
        <f t="shared" si="119"/>
        <v>0.351957839280233</v>
      </c>
      <c r="Q99" s="143">
        <f>($Q$85+$J$83/2)/Q96</f>
        <v>0.1055873517840699</v>
      </c>
      <c r="R99" s="143">
        <f aca="true" t="shared" si="120" ref="R99:AA99">($Q$85+$J$83/2)/R96</f>
        <v>0.1055873517840699</v>
      </c>
      <c r="S99" s="143">
        <f t="shared" si="120"/>
        <v>0.1055873517840699</v>
      </c>
      <c r="T99" s="143">
        <f t="shared" si="120"/>
        <v>0.1055873517840699</v>
      </c>
      <c r="U99" s="143">
        <f t="shared" si="120"/>
        <v>0.1055873517840699</v>
      </c>
      <c r="V99" s="143">
        <f t="shared" si="120"/>
        <v>0.1055873517840699</v>
      </c>
      <c r="W99" s="143">
        <f t="shared" si="120"/>
        <v>0.1055873517840699</v>
      </c>
      <c r="X99" s="143">
        <f t="shared" si="120"/>
        <v>0.1055873517840699</v>
      </c>
      <c r="Y99" s="143">
        <f t="shared" si="120"/>
        <v>0.1055873517840699</v>
      </c>
      <c r="Z99" s="143">
        <f t="shared" si="120"/>
        <v>0.1055873517840699</v>
      </c>
      <c r="AA99" s="143">
        <f t="shared" si="120"/>
        <v>0.1055873517840699</v>
      </c>
      <c r="AB99" s="143">
        <f aca="true" t="shared" si="121" ref="AB99:AL99">($AB$85+$J$83/2)/AB96</f>
        <v>-0.1407831357120932</v>
      </c>
      <c r="AC99" s="143">
        <f t="shared" si="121"/>
        <v>-0.1407831357120932</v>
      </c>
      <c r="AD99" s="143">
        <f t="shared" si="121"/>
        <v>-0.1407831357120932</v>
      </c>
      <c r="AE99" s="143">
        <f t="shared" si="121"/>
        <v>-0.1407831357120932</v>
      </c>
      <c r="AF99" s="143">
        <f t="shared" si="121"/>
        <v>-0.1407831357120932</v>
      </c>
      <c r="AG99" s="143">
        <f t="shared" si="121"/>
        <v>-0.1407831357120932</v>
      </c>
      <c r="AH99" s="143">
        <f t="shared" si="121"/>
        <v>-0.1407831357120932</v>
      </c>
      <c r="AI99" s="143">
        <f t="shared" si="121"/>
        <v>-0.1407831357120932</v>
      </c>
      <c r="AJ99" s="143">
        <f t="shared" si="121"/>
        <v>-0.1407831357120932</v>
      </c>
      <c r="AK99" s="143">
        <f t="shared" si="121"/>
        <v>-0.1407831357120932</v>
      </c>
      <c r="AL99" s="143">
        <f t="shared" si="121"/>
        <v>-0.1407831357120932</v>
      </c>
      <c r="AM99" s="143">
        <f aca="true" t="shared" si="122" ref="AM99:AW99">($AM$85+$J$83/2)/AM96</f>
        <v>-0.3871536232082563</v>
      </c>
      <c r="AN99" s="143">
        <f t="shared" si="122"/>
        <v>-0.3871536232082563</v>
      </c>
      <c r="AO99" s="143">
        <f t="shared" si="122"/>
        <v>-0.3871536232082563</v>
      </c>
      <c r="AP99" s="143">
        <f t="shared" si="122"/>
        <v>-0.3871536232082563</v>
      </c>
      <c r="AQ99" s="143">
        <f t="shared" si="122"/>
        <v>-0.3871536232082563</v>
      </c>
      <c r="AR99" s="143">
        <f t="shared" si="122"/>
        <v>-0.3871536232082563</v>
      </c>
      <c r="AS99" s="143">
        <f t="shared" si="122"/>
        <v>-0.3871536232082563</v>
      </c>
      <c r="AT99" s="143">
        <f t="shared" si="122"/>
        <v>-0.3871536232082563</v>
      </c>
      <c r="AU99" s="143">
        <f t="shared" si="122"/>
        <v>-0.3871536232082563</v>
      </c>
      <c r="AV99" s="143">
        <f t="shared" si="122"/>
        <v>-0.3871536232082563</v>
      </c>
      <c r="AW99" s="143">
        <f t="shared" si="122"/>
        <v>-0.3871536232082563</v>
      </c>
      <c r="AX99" s="143">
        <f aca="true" t="shared" si="123" ref="AX99:BH99">($AX$85+$J$83/2)/AX96</f>
        <v>-0.6335241107044194</v>
      </c>
      <c r="AY99" s="143">
        <f t="shared" si="123"/>
        <v>-0.6335241107044194</v>
      </c>
      <c r="AZ99" s="143">
        <f t="shared" si="123"/>
        <v>-0.6335241107044194</v>
      </c>
      <c r="BA99" s="143">
        <f t="shared" si="123"/>
        <v>-0.6335241107044194</v>
      </c>
      <c r="BB99" s="143">
        <f t="shared" si="123"/>
        <v>-0.6335241107044194</v>
      </c>
      <c r="BC99" s="143">
        <f t="shared" si="123"/>
        <v>-0.6335241107044194</v>
      </c>
      <c r="BD99" s="143">
        <f t="shared" si="123"/>
        <v>-0.6335241107044194</v>
      </c>
      <c r="BE99" s="143">
        <f t="shared" si="123"/>
        <v>-0.6335241107044194</v>
      </c>
      <c r="BF99" s="143">
        <f t="shared" si="123"/>
        <v>-0.6335241107044194</v>
      </c>
      <c r="BG99" s="143">
        <f t="shared" si="123"/>
        <v>-0.6335241107044194</v>
      </c>
      <c r="BH99" s="143">
        <f t="shared" si="123"/>
        <v>-0.6335241107044194</v>
      </c>
      <c r="BI99" s="143">
        <f aca="true" t="shared" si="124" ref="BI99:BS99">($BI$85+$J$83/2)/BI96</f>
        <v>-0.8798945982005826</v>
      </c>
      <c r="BJ99" s="143">
        <f t="shared" si="124"/>
        <v>-0.8798945982005826</v>
      </c>
      <c r="BK99" s="143">
        <f t="shared" si="124"/>
        <v>-0.8798945982005826</v>
      </c>
      <c r="BL99" s="143">
        <f t="shared" si="124"/>
        <v>-0.8798945982005826</v>
      </c>
      <c r="BM99" s="143">
        <f t="shared" si="124"/>
        <v>-0.8798945982005826</v>
      </c>
      <c r="BN99" s="143">
        <f t="shared" si="124"/>
        <v>-0.8798945982005826</v>
      </c>
      <c r="BO99" s="143">
        <f t="shared" si="124"/>
        <v>-0.8798945982005826</v>
      </c>
      <c r="BP99" s="143">
        <f t="shared" si="124"/>
        <v>-0.8798945982005826</v>
      </c>
      <c r="BQ99" s="143">
        <f t="shared" si="124"/>
        <v>-0.8798945982005826</v>
      </c>
      <c r="BR99" s="143">
        <f t="shared" si="124"/>
        <v>-0.8798945982005826</v>
      </c>
      <c r="BS99" s="143">
        <f t="shared" si="124"/>
        <v>-0.8798945982005826</v>
      </c>
      <c r="BT99" s="143">
        <f aca="true" t="shared" si="125" ref="BT99:CD99">($BT$85+$J$83/2)/BT96</f>
        <v>-1.1262650856967455</v>
      </c>
      <c r="BU99" s="143">
        <f t="shared" si="125"/>
        <v>-1.1262650856967455</v>
      </c>
      <c r="BV99" s="143">
        <f t="shared" si="125"/>
        <v>-1.1262650856967455</v>
      </c>
      <c r="BW99" s="143">
        <f t="shared" si="125"/>
        <v>-1.1262650856967455</v>
      </c>
      <c r="BX99" s="143">
        <f t="shared" si="125"/>
        <v>-1.1262650856967455</v>
      </c>
      <c r="BY99" s="143">
        <f t="shared" si="125"/>
        <v>-1.1262650856967455</v>
      </c>
      <c r="BZ99" s="143">
        <f t="shared" si="125"/>
        <v>-1.1262650856967455</v>
      </c>
      <c r="CA99" s="143">
        <f t="shared" si="125"/>
        <v>-1.1262650856967455</v>
      </c>
      <c r="CB99" s="143">
        <f t="shared" si="125"/>
        <v>-1.1262650856967455</v>
      </c>
      <c r="CC99" s="143">
        <f t="shared" si="125"/>
        <v>-1.1262650856967455</v>
      </c>
      <c r="CD99" s="143">
        <f t="shared" si="125"/>
        <v>-1.1262650856967455</v>
      </c>
      <c r="CE99" s="143">
        <f aca="true" t="shared" si="126" ref="CE99:CO99">($CE$85+$J$83/2)/CE96</f>
        <v>-1.3726355731929087</v>
      </c>
      <c r="CF99" s="143">
        <f t="shared" si="126"/>
        <v>-1.3726355731929087</v>
      </c>
      <c r="CG99" s="143">
        <f t="shared" si="126"/>
        <v>-1.3726355731929087</v>
      </c>
      <c r="CH99" s="143">
        <f t="shared" si="126"/>
        <v>-1.3726355731929087</v>
      </c>
      <c r="CI99" s="143">
        <f t="shared" si="126"/>
        <v>-1.3726355731929087</v>
      </c>
      <c r="CJ99" s="143">
        <f t="shared" si="126"/>
        <v>-1.3726355731929087</v>
      </c>
      <c r="CK99" s="143">
        <f t="shared" si="126"/>
        <v>-1.3726355731929087</v>
      </c>
      <c r="CL99" s="143">
        <f t="shared" si="126"/>
        <v>-1.3726355731929087</v>
      </c>
      <c r="CM99" s="143">
        <f t="shared" si="126"/>
        <v>-1.3726355731929087</v>
      </c>
      <c r="CN99" s="143">
        <f t="shared" si="126"/>
        <v>-1.3726355731929087</v>
      </c>
      <c r="CO99" s="143">
        <f t="shared" si="126"/>
        <v>-1.3726355731929087</v>
      </c>
      <c r="CP99" s="143">
        <f aca="true" t="shared" si="127" ref="CP99:CZ99">($CP$85+$J$83/2)/CP96</f>
        <v>-1.619006060689072</v>
      </c>
      <c r="CQ99" s="143">
        <f t="shared" si="127"/>
        <v>-1.619006060689072</v>
      </c>
      <c r="CR99" s="143">
        <f t="shared" si="127"/>
        <v>-1.619006060689072</v>
      </c>
      <c r="CS99" s="143">
        <f t="shared" si="127"/>
        <v>-1.619006060689072</v>
      </c>
      <c r="CT99" s="143">
        <f t="shared" si="127"/>
        <v>-1.619006060689072</v>
      </c>
      <c r="CU99" s="143">
        <f t="shared" si="127"/>
        <v>-1.619006060689072</v>
      </c>
      <c r="CV99" s="143">
        <f t="shared" si="127"/>
        <v>-1.619006060689072</v>
      </c>
      <c r="CW99" s="143">
        <f t="shared" si="127"/>
        <v>-1.619006060689072</v>
      </c>
      <c r="CX99" s="143">
        <f t="shared" si="127"/>
        <v>-1.619006060689072</v>
      </c>
      <c r="CY99" s="143">
        <f t="shared" si="127"/>
        <v>-1.619006060689072</v>
      </c>
      <c r="CZ99" s="143">
        <f t="shared" si="127"/>
        <v>-1.619006060689072</v>
      </c>
      <c r="DA99" s="143">
        <f aca="true" t="shared" si="128" ref="DA99:DK99">($DA$85+$J$83/2)/DA96</f>
        <v>-1.865376548185235</v>
      </c>
      <c r="DB99" s="143">
        <f t="shared" si="128"/>
        <v>-1.865376548185235</v>
      </c>
      <c r="DC99" s="143">
        <f t="shared" si="128"/>
        <v>-1.865376548185235</v>
      </c>
      <c r="DD99" s="143">
        <f t="shared" si="128"/>
        <v>-1.865376548185235</v>
      </c>
      <c r="DE99" s="143">
        <f t="shared" si="128"/>
        <v>-1.865376548185235</v>
      </c>
      <c r="DF99" s="143">
        <f t="shared" si="128"/>
        <v>-1.865376548185235</v>
      </c>
      <c r="DG99" s="143">
        <f t="shared" si="128"/>
        <v>-1.865376548185235</v>
      </c>
      <c r="DH99" s="143">
        <f t="shared" si="128"/>
        <v>-1.865376548185235</v>
      </c>
      <c r="DI99" s="143">
        <f t="shared" si="128"/>
        <v>-1.865376548185235</v>
      </c>
      <c r="DJ99" s="143">
        <f t="shared" si="128"/>
        <v>-1.865376548185235</v>
      </c>
      <c r="DK99" s="143">
        <f t="shared" si="128"/>
        <v>-1.865376548185235</v>
      </c>
      <c r="DL99" s="143">
        <f aca="true" t="shared" si="129" ref="DL99:DV99">($DL$85+$J$83/2)/DL96</f>
        <v>-2.111747035681398</v>
      </c>
      <c r="DM99" s="143">
        <f t="shared" si="129"/>
        <v>-2.111747035681398</v>
      </c>
      <c r="DN99" s="143">
        <f t="shared" si="129"/>
        <v>-2.111747035681398</v>
      </c>
      <c r="DO99" s="143">
        <f t="shared" si="129"/>
        <v>-2.111747035681398</v>
      </c>
      <c r="DP99" s="143">
        <f t="shared" si="129"/>
        <v>-2.111747035681398</v>
      </c>
      <c r="DQ99" s="143">
        <f t="shared" si="129"/>
        <v>-2.111747035681398</v>
      </c>
      <c r="DR99" s="143">
        <f t="shared" si="129"/>
        <v>-2.111747035681398</v>
      </c>
      <c r="DS99" s="143">
        <f t="shared" si="129"/>
        <v>-2.111747035681398</v>
      </c>
      <c r="DT99" s="143">
        <f t="shared" si="129"/>
        <v>-2.111747035681398</v>
      </c>
      <c r="DU99" s="143">
        <f t="shared" si="129"/>
        <v>-2.111747035681398</v>
      </c>
      <c r="DV99" s="143">
        <f t="shared" si="129"/>
        <v>-2.111747035681398</v>
      </c>
    </row>
    <row r="100" spans="2:126" ht="12.75">
      <c r="B100" s="109" t="s">
        <v>453</v>
      </c>
      <c r="E100" s="132"/>
      <c r="F100" s="143">
        <f>($F$85-$J$83/2)/F96</f>
        <v>-0.351957839280233</v>
      </c>
      <c r="G100" s="143">
        <f aca="true" t="shared" si="130" ref="G100:P100">($F$85-$J$83/2)/G96</f>
        <v>-0.351957839280233</v>
      </c>
      <c r="H100" s="143">
        <f t="shared" si="130"/>
        <v>-0.351957839280233</v>
      </c>
      <c r="I100" s="143">
        <f t="shared" si="130"/>
        <v>-0.351957839280233</v>
      </c>
      <c r="J100" s="143">
        <f t="shared" si="130"/>
        <v>-0.351957839280233</v>
      </c>
      <c r="K100" s="143">
        <f t="shared" si="130"/>
        <v>-0.351957839280233</v>
      </c>
      <c r="L100" s="143">
        <f t="shared" si="130"/>
        <v>-0.351957839280233</v>
      </c>
      <c r="M100" s="143">
        <f t="shared" si="130"/>
        <v>-0.351957839280233</v>
      </c>
      <c r="N100" s="143">
        <f t="shared" si="130"/>
        <v>-0.351957839280233</v>
      </c>
      <c r="O100" s="143">
        <f t="shared" si="130"/>
        <v>-0.351957839280233</v>
      </c>
      <c r="P100" s="143">
        <f t="shared" si="130"/>
        <v>-0.351957839280233</v>
      </c>
      <c r="Q100" s="143">
        <f>($Q$85-$J$83/2)/Q96</f>
        <v>-0.5983283267763961</v>
      </c>
      <c r="R100" s="143">
        <f aca="true" t="shared" si="131" ref="R100:AA100">($Q$85-$J$83/2)/R96</f>
        <v>-0.5983283267763961</v>
      </c>
      <c r="S100" s="143">
        <f t="shared" si="131"/>
        <v>-0.5983283267763961</v>
      </c>
      <c r="T100" s="143">
        <f t="shared" si="131"/>
        <v>-0.5983283267763961</v>
      </c>
      <c r="U100" s="143">
        <f t="shared" si="131"/>
        <v>-0.5983283267763961</v>
      </c>
      <c r="V100" s="143">
        <f t="shared" si="131"/>
        <v>-0.5983283267763961</v>
      </c>
      <c r="W100" s="143">
        <f t="shared" si="131"/>
        <v>-0.5983283267763961</v>
      </c>
      <c r="X100" s="143">
        <f t="shared" si="131"/>
        <v>-0.5983283267763961</v>
      </c>
      <c r="Y100" s="143">
        <f t="shared" si="131"/>
        <v>-0.5983283267763961</v>
      </c>
      <c r="Z100" s="143">
        <f t="shared" si="131"/>
        <v>-0.5983283267763961</v>
      </c>
      <c r="AA100" s="143">
        <f t="shared" si="131"/>
        <v>-0.5983283267763961</v>
      </c>
      <c r="AB100" s="143">
        <f aca="true" t="shared" si="132" ref="AB100:AL100">($AB$85-$J$83/2)/AB96</f>
        <v>-0.8446988142725592</v>
      </c>
      <c r="AC100" s="143">
        <f t="shared" si="132"/>
        <v>-0.8446988142725592</v>
      </c>
      <c r="AD100" s="143">
        <f t="shared" si="132"/>
        <v>-0.8446988142725592</v>
      </c>
      <c r="AE100" s="143">
        <f t="shared" si="132"/>
        <v>-0.8446988142725592</v>
      </c>
      <c r="AF100" s="143">
        <f t="shared" si="132"/>
        <v>-0.8446988142725592</v>
      </c>
      <c r="AG100" s="143">
        <f t="shared" si="132"/>
        <v>-0.8446988142725592</v>
      </c>
      <c r="AH100" s="143">
        <f t="shared" si="132"/>
        <v>-0.8446988142725592</v>
      </c>
      <c r="AI100" s="143">
        <f t="shared" si="132"/>
        <v>-0.8446988142725592</v>
      </c>
      <c r="AJ100" s="143">
        <f t="shared" si="132"/>
        <v>-0.8446988142725592</v>
      </c>
      <c r="AK100" s="143">
        <f t="shared" si="132"/>
        <v>-0.8446988142725592</v>
      </c>
      <c r="AL100" s="143">
        <f t="shared" si="132"/>
        <v>-0.8446988142725592</v>
      </c>
      <c r="AM100" s="143">
        <f aca="true" t="shared" si="133" ref="AM100:AW100">($AM$85-$J$83/2)/AM96</f>
        <v>-1.0910693017687223</v>
      </c>
      <c r="AN100" s="143">
        <f t="shared" si="133"/>
        <v>-1.0910693017687223</v>
      </c>
      <c r="AO100" s="143">
        <f t="shared" si="133"/>
        <v>-1.0910693017687223</v>
      </c>
      <c r="AP100" s="143">
        <f t="shared" si="133"/>
        <v>-1.0910693017687223</v>
      </c>
      <c r="AQ100" s="143">
        <f t="shared" si="133"/>
        <v>-1.0910693017687223</v>
      </c>
      <c r="AR100" s="143">
        <f t="shared" si="133"/>
        <v>-1.0910693017687223</v>
      </c>
      <c r="AS100" s="143">
        <f t="shared" si="133"/>
        <v>-1.0910693017687223</v>
      </c>
      <c r="AT100" s="143">
        <f t="shared" si="133"/>
        <v>-1.0910693017687223</v>
      </c>
      <c r="AU100" s="143">
        <f t="shared" si="133"/>
        <v>-1.0910693017687223</v>
      </c>
      <c r="AV100" s="143">
        <f t="shared" si="133"/>
        <v>-1.0910693017687223</v>
      </c>
      <c r="AW100" s="143">
        <f t="shared" si="133"/>
        <v>-1.0910693017687223</v>
      </c>
      <c r="AX100" s="143">
        <f aca="true" t="shared" si="134" ref="AX100:BH100">($AX$85-$J$83/2)/AX96</f>
        <v>-1.3374397892648855</v>
      </c>
      <c r="AY100" s="143">
        <f t="shared" si="134"/>
        <v>-1.3374397892648855</v>
      </c>
      <c r="AZ100" s="143">
        <f t="shared" si="134"/>
        <v>-1.3374397892648855</v>
      </c>
      <c r="BA100" s="143">
        <f t="shared" si="134"/>
        <v>-1.3374397892648855</v>
      </c>
      <c r="BB100" s="143">
        <f t="shared" si="134"/>
        <v>-1.3374397892648855</v>
      </c>
      <c r="BC100" s="143">
        <f t="shared" si="134"/>
        <v>-1.3374397892648855</v>
      </c>
      <c r="BD100" s="143">
        <f t="shared" si="134"/>
        <v>-1.3374397892648855</v>
      </c>
      <c r="BE100" s="143">
        <f t="shared" si="134"/>
        <v>-1.3374397892648855</v>
      </c>
      <c r="BF100" s="143">
        <f t="shared" si="134"/>
        <v>-1.3374397892648855</v>
      </c>
      <c r="BG100" s="143">
        <f t="shared" si="134"/>
        <v>-1.3374397892648855</v>
      </c>
      <c r="BH100" s="143">
        <f t="shared" si="134"/>
        <v>-1.3374397892648855</v>
      </c>
      <c r="BI100" s="143">
        <f aca="true" t="shared" si="135" ref="BI100:BS100">($BI$85-$J$83/2)/BI96</f>
        <v>-1.5838102767610487</v>
      </c>
      <c r="BJ100" s="143">
        <f t="shared" si="135"/>
        <v>-1.5838102767610487</v>
      </c>
      <c r="BK100" s="143">
        <f t="shared" si="135"/>
        <v>-1.5838102767610487</v>
      </c>
      <c r="BL100" s="143">
        <f t="shared" si="135"/>
        <v>-1.5838102767610487</v>
      </c>
      <c r="BM100" s="143">
        <f t="shared" si="135"/>
        <v>-1.5838102767610487</v>
      </c>
      <c r="BN100" s="143">
        <f t="shared" si="135"/>
        <v>-1.5838102767610487</v>
      </c>
      <c r="BO100" s="143">
        <f t="shared" si="135"/>
        <v>-1.5838102767610487</v>
      </c>
      <c r="BP100" s="143">
        <f t="shared" si="135"/>
        <v>-1.5838102767610487</v>
      </c>
      <c r="BQ100" s="143">
        <f t="shared" si="135"/>
        <v>-1.5838102767610487</v>
      </c>
      <c r="BR100" s="143">
        <f t="shared" si="135"/>
        <v>-1.5838102767610487</v>
      </c>
      <c r="BS100" s="143">
        <f t="shared" si="135"/>
        <v>-1.5838102767610487</v>
      </c>
      <c r="BT100" s="143">
        <f aca="true" t="shared" si="136" ref="BT100:CD100">($BT$85-$J$83/2)/BT96</f>
        <v>-1.8301807642572117</v>
      </c>
      <c r="BU100" s="143">
        <f t="shared" si="136"/>
        <v>-1.8301807642572117</v>
      </c>
      <c r="BV100" s="143">
        <f t="shared" si="136"/>
        <v>-1.8301807642572117</v>
      </c>
      <c r="BW100" s="143">
        <f t="shared" si="136"/>
        <v>-1.8301807642572117</v>
      </c>
      <c r="BX100" s="143">
        <f t="shared" si="136"/>
        <v>-1.8301807642572117</v>
      </c>
      <c r="BY100" s="143">
        <f t="shared" si="136"/>
        <v>-1.8301807642572117</v>
      </c>
      <c r="BZ100" s="143">
        <f t="shared" si="136"/>
        <v>-1.8301807642572117</v>
      </c>
      <c r="CA100" s="143">
        <f t="shared" si="136"/>
        <v>-1.8301807642572117</v>
      </c>
      <c r="CB100" s="143">
        <f t="shared" si="136"/>
        <v>-1.8301807642572117</v>
      </c>
      <c r="CC100" s="143">
        <f t="shared" si="136"/>
        <v>-1.8301807642572117</v>
      </c>
      <c r="CD100" s="143">
        <f t="shared" si="136"/>
        <v>-1.8301807642572117</v>
      </c>
      <c r="CE100" s="143">
        <f aca="true" t="shared" si="137" ref="CE100:CO100">($CE$85-$J$83/2)/CE96</f>
        <v>-2.076551251753375</v>
      </c>
      <c r="CF100" s="143">
        <f t="shared" si="137"/>
        <v>-2.076551251753375</v>
      </c>
      <c r="CG100" s="143">
        <f t="shared" si="137"/>
        <v>-2.076551251753375</v>
      </c>
      <c r="CH100" s="143">
        <f t="shared" si="137"/>
        <v>-2.076551251753375</v>
      </c>
      <c r="CI100" s="143">
        <f t="shared" si="137"/>
        <v>-2.076551251753375</v>
      </c>
      <c r="CJ100" s="143">
        <f t="shared" si="137"/>
        <v>-2.076551251753375</v>
      </c>
      <c r="CK100" s="143">
        <f t="shared" si="137"/>
        <v>-2.076551251753375</v>
      </c>
      <c r="CL100" s="143">
        <f t="shared" si="137"/>
        <v>-2.076551251753375</v>
      </c>
      <c r="CM100" s="143">
        <f t="shared" si="137"/>
        <v>-2.076551251753375</v>
      </c>
      <c r="CN100" s="143">
        <f t="shared" si="137"/>
        <v>-2.076551251753375</v>
      </c>
      <c r="CO100" s="143">
        <f t="shared" si="137"/>
        <v>-2.076551251753375</v>
      </c>
      <c r="CP100" s="143">
        <f aca="true" t="shared" si="138" ref="CP100:CZ100">($CP$85-$J$83/2)/CP96</f>
        <v>-2.322921739249538</v>
      </c>
      <c r="CQ100" s="143">
        <f t="shared" si="138"/>
        <v>-2.322921739249538</v>
      </c>
      <c r="CR100" s="143">
        <f t="shared" si="138"/>
        <v>-2.322921739249538</v>
      </c>
      <c r="CS100" s="143">
        <f t="shared" si="138"/>
        <v>-2.322921739249538</v>
      </c>
      <c r="CT100" s="143">
        <f t="shared" si="138"/>
        <v>-2.322921739249538</v>
      </c>
      <c r="CU100" s="143">
        <f t="shared" si="138"/>
        <v>-2.322921739249538</v>
      </c>
      <c r="CV100" s="143">
        <f t="shared" si="138"/>
        <v>-2.322921739249538</v>
      </c>
      <c r="CW100" s="143">
        <f t="shared" si="138"/>
        <v>-2.322921739249538</v>
      </c>
      <c r="CX100" s="143">
        <f t="shared" si="138"/>
        <v>-2.322921739249538</v>
      </c>
      <c r="CY100" s="143">
        <f t="shared" si="138"/>
        <v>-2.322921739249538</v>
      </c>
      <c r="CZ100" s="143">
        <f t="shared" si="138"/>
        <v>-2.322921739249538</v>
      </c>
      <c r="DA100" s="143">
        <f aca="true" t="shared" si="139" ref="DA100:DK100">($DA$85-$J$83/2)/DA96</f>
        <v>-2.5692922267457012</v>
      </c>
      <c r="DB100" s="143">
        <f t="shared" si="139"/>
        <v>-2.5692922267457012</v>
      </c>
      <c r="DC100" s="143">
        <f t="shared" si="139"/>
        <v>-2.5692922267457012</v>
      </c>
      <c r="DD100" s="143">
        <f t="shared" si="139"/>
        <v>-2.5692922267457012</v>
      </c>
      <c r="DE100" s="143">
        <f t="shared" si="139"/>
        <v>-2.5692922267457012</v>
      </c>
      <c r="DF100" s="143">
        <f t="shared" si="139"/>
        <v>-2.5692922267457012</v>
      </c>
      <c r="DG100" s="143">
        <f t="shared" si="139"/>
        <v>-2.5692922267457012</v>
      </c>
      <c r="DH100" s="143">
        <f t="shared" si="139"/>
        <v>-2.5692922267457012</v>
      </c>
      <c r="DI100" s="143">
        <f t="shared" si="139"/>
        <v>-2.5692922267457012</v>
      </c>
      <c r="DJ100" s="143">
        <f t="shared" si="139"/>
        <v>-2.5692922267457012</v>
      </c>
      <c r="DK100" s="143">
        <f t="shared" si="139"/>
        <v>-2.5692922267457012</v>
      </c>
      <c r="DL100" s="143">
        <f aca="true" t="shared" si="140" ref="DL100:DV100">($DL$85-$J$83/2)/DL96</f>
        <v>-2.815662714241864</v>
      </c>
      <c r="DM100" s="143">
        <f t="shared" si="140"/>
        <v>-2.815662714241864</v>
      </c>
      <c r="DN100" s="143">
        <f t="shared" si="140"/>
        <v>-2.815662714241864</v>
      </c>
      <c r="DO100" s="143">
        <f t="shared" si="140"/>
        <v>-2.815662714241864</v>
      </c>
      <c r="DP100" s="143">
        <f t="shared" si="140"/>
        <v>-2.815662714241864</v>
      </c>
      <c r="DQ100" s="143">
        <f t="shared" si="140"/>
        <v>-2.815662714241864</v>
      </c>
      <c r="DR100" s="143">
        <f t="shared" si="140"/>
        <v>-2.815662714241864</v>
      </c>
      <c r="DS100" s="143">
        <f t="shared" si="140"/>
        <v>-2.815662714241864</v>
      </c>
      <c r="DT100" s="143">
        <f t="shared" si="140"/>
        <v>-2.815662714241864</v>
      </c>
      <c r="DU100" s="143">
        <f t="shared" si="140"/>
        <v>-2.815662714241864</v>
      </c>
      <c r="DV100" s="143">
        <f t="shared" si="140"/>
        <v>-2.815662714241864</v>
      </c>
    </row>
    <row r="101" spans="2:126" ht="12.75">
      <c r="B101" s="109" t="s">
        <v>454</v>
      </c>
      <c r="E101" s="132"/>
      <c r="F101" s="143">
        <v>0.9994249819145782</v>
      </c>
      <c r="G101" s="143">
        <v>0.9999350412904072</v>
      </c>
      <c r="H101" s="143">
        <v>0.9999945047673506</v>
      </c>
      <c r="I101" s="143">
        <v>0.9999996527938544</v>
      </c>
      <c r="J101" s="143">
        <v>0.9999999836478183</v>
      </c>
      <c r="K101" s="143">
        <v>0.9999999994268323</v>
      </c>
      <c r="L101" s="143">
        <v>0.999999999985066</v>
      </c>
      <c r="M101" s="143">
        <v>0.999999999999711</v>
      </c>
      <c r="N101" s="143">
        <v>0.9999999999999959</v>
      </c>
      <c r="O101" s="143">
        <v>1</v>
      </c>
      <c r="P101" s="143">
        <v>1</v>
      </c>
      <c r="Q101" s="143">
        <v>0.9994249819145782</v>
      </c>
      <c r="R101" s="143">
        <v>0.9999350412904072</v>
      </c>
      <c r="S101" s="143">
        <v>0.9999945047673506</v>
      </c>
      <c r="T101" s="143">
        <v>0.9999996527938544</v>
      </c>
      <c r="U101" s="143">
        <v>0.9999999836478183</v>
      </c>
      <c r="V101" s="143">
        <v>0.9999999994268323</v>
      </c>
      <c r="W101" s="143">
        <v>0.999999999985066</v>
      </c>
      <c r="X101" s="143">
        <v>0.999999999999711</v>
      </c>
      <c r="Y101" s="143">
        <v>0.9999999999999959</v>
      </c>
      <c r="Z101" s="143">
        <v>1</v>
      </c>
      <c r="AA101" s="143">
        <v>1</v>
      </c>
      <c r="AB101" s="143">
        <v>0.9994249819145782</v>
      </c>
      <c r="AC101" s="143">
        <v>0.9999350412904072</v>
      </c>
      <c r="AD101" s="143">
        <v>0.9999945047673506</v>
      </c>
      <c r="AE101" s="143">
        <v>0.9999996527938544</v>
      </c>
      <c r="AF101" s="143">
        <v>0.9999999836478183</v>
      </c>
      <c r="AG101" s="143">
        <v>0.9999999994268323</v>
      </c>
      <c r="AH101" s="143">
        <v>0.999999999985066</v>
      </c>
      <c r="AI101" s="143">
        <v>0.999999999999711</v>
      </c>
      <c r="AJ101" s="143">
        <v>0.9999999999999959</v>
      </c>
      <c r="AK101" s="143">
        <v>1</v>
      </c>
      <c r="AL101" s="143">
        <v>1</v>
      </c>
      <c r="AM101" s="143">
        <v>0.9994249819145782</v>
      </c>
      <c r="AN101" s="143">
        <v>0.9999350412904072</v>
      </c>
      <c r="AO101" s="143">
        <v>0.9999945047673506</v>
      </c>
      <c r="AP101" s="143">
        <v>0.9999996527938544</v>
      </c>
      <c r="AQ101" s="143">
        <v>0.9999999836478183</v>
      </c>
      <c r="AR101" s="143">
        <v>0.9999999994268323</v>
      </c>
      <c r="AS101" s="143">
        <v>0.999999999985066</v>
      </c>
      <c r="AT101" s="143">
        <v>0.999999999999711</v>
      </c>
      <c r="AU101" s="143">
        <v>0.9999999999999959</v>
      </c>
      <c r="AV101" s="143">
        <v>1</v>
      </c>
      <c r="AW101" s="143">
        <v>1</v>
      </c>
      <c r="AX101" s="143">
        <v>0.9994249819145782</v>
      </c>
      <c r="AY101" s="143">
        <v>0.9999350412904072</v>
      </c>
      <c r="AZ101" s="143">
        <v>0.9999945047673506</v>
      </c>
      <c r="BA101" s="143">
        <v>0.9999996527938544</v>
      </c>
      <c r="BB101" s="143">
        <v>0.9999999836478183</v>
      </c>
      <c r="BC101" s="143">
        <v>0.9999999994268323</v>
      </c>
      <c r="BD101" s="143">
        <v>0.999999999985066</v>
      </c>
      <c r="BE101" s="143">
        <v>0.999999999999711</v>
      </c>
      <c r="BF101" s="143">
        <v>0.9999999999999959</v>
      </c>
      <c r="BG101" s="143">
        <v>1</v>
      </c>
      <c r="BH101" s="143">
        <v>1</v>
      </c>
      <c r="BI101" s="143">
        <v>0.9994249819145782</v>
      </c>
      <c r="BJ101" s="143">
        <v>0.9999350412904072</v>
      </c>
      <c r="BK101" s="143">
        <v>0.9999945047673506</v>
      </c>
      <c r="BL101" s="143">
        <v>0.9999996527938544</v>
      </c>
      <c r="BM101" s="143">
        <v>0.9999999836478183</v>
      </c>
      <c r="BN101" s="143">
        <v>0.9999999994268323</v>
      </c>
      <c r="BO101" s="143">
        <v>0.999999999985066</v>
      </c>
      <c r="BP101" s="143">
        <v>0.999999999999711</v>
      </c>
      <c r="BQ101" s="143">
        <v>0.9999999999999959</v>
      </c>
      <c r="BR101" s="143">
        <v>1</v>
      </c>
      <c r="BS101" s="143">
        <v>1</v>
      </c>
      <c r="BT101" s="143">
        <v>0.9994249819145782</v>
      </c>
      <c r="BU101" s="143">
        <v>0.9999350412904072</v>
      </c>
      <c r="BV101" s="143">
        <v>0.9999945047673506</v>
      </c>
      <c r="BW101" s="143">
        <v>0.9999996527938544</v>
      </c>
      <c r="BX101" s="143">
        <v>0.9999999836478183</v>
      </c>
      <c r="BY101" s="143">
        <v>0.9999999994268323</v>
      </c>
      <c r="BZ101" s="143">
        <v>0.999999999985066</v>
      </c>
      <c r="CA101" s="143">
        <v>0.999999999999711</v>
      </c>
      <c r="CB101" s="143">
        <v>0.9999999999999959</v>
      </c>
      <c r="CC101" s="143">
        <v>1</v>
      </c>
      <c r="CD101" s="143">
        <v>1</v>
      </c>
      <c r="CE101" s="143">
        <v>0.9994249819145782</v>
      </c>
      <c r="CF101" s="143">
        <v>0.9999350412904072</v>
      </c>
      <c r="CG101" s="143">
        <v>0.9999945047673506</v>
      </c>
      <c r="CH101" s="143">
        <v>0.9999996527938544</v>
      </c>
      <c r="CI101" s="143">
        <v>0.9999999836478183</v>
      </c>
      <c r="CJ101" s="143">
        <v>0.9999999994268323</v>
      </c>
      <c r="CK101" s="143">
        <v>0.999999999985066</v>
      </c>
      <c r="CL101" s="143">
        <v>0.999999999999711</v>
      </c>
      <c r="CM101" s="143">
        <v>0.9999999999999959</v>
      </c>
      <c r="CN101" s="143">
        <v>1</v>
      </c>
      <c r="CO101" s="143">
        <v>1</v>
      </c>
      <c r="CP101" s="143">
        <v>0.9994249819145782</v>
      </c>
      <c r="CQ101" s="143">
        <v>0.9999350412904072</v>
      </c>
      <c r="CR101" s="143">
        <v>0.9999945047673506</v>
      </c>
      <c r="CS101" s="143">
        <v>0.9999996527938544</v>
      </c>
      <c r="CT101" s="143">
        <v>0.9999999836478183</v>
      </c>
      <c r="CU101" s="143">
        <v>0.9999999994268323</v>
      </c>
      <c r="CV101" s="143">
        <v>0.999999999985066</v>
      </c>
      <c r="CW101" s="143">
        <v>0.999999999999711</v>
      </c>
      <c r="CX101" s="143">
        <v>0.9999999999999959</v>
      </c>
      <c r="CY101" s="143">
        <v>1</v>
      </c>
      <c r="CZ101" s="143">
        <v>1</v>
      </c>
      <c r="DA101" s="143">
        <v>0.9994249819145782</v>
      </c>
      <c r="DB101" s="143">
        <v>0.9999350412904072</v>
      </c>
      <c r="DC101" s="143">
        <v>0.9999945047673506</v>
      </c>
      <c r="DD101" s="143">
        <v>0.9999996527938544</v>
      </c>
      <c r="DE101" s="143">
        <v>0.9999999836478183</v>
      </c>
      <c r="DF101" s="143">
        <v>0.9999999994268323</v>
      </c>
      <c r="DG101" s="143">
        <v>0.999999999985066</v>
      </c>
      <c r="DH101" s="143">
        <v>0.999999999999711</v>
      </c>
      <c r="DI101" s="143">
        <v>0.9999999999999959</v>
      </c>
      <c r="DJ101" s="143">
        <v>1</v>
      </c>
      <c r="DK101" s="143">
        <v>1</v>
      </c>
      <c r="DL101" s="143">
        <v>0.9994249819145782</v>
      </c>
      <c r="DM101" s="143">
        <v>0.9999350412904072</v>
      </c>
      <c r="DN101" s="143">
        <v>0.9999945047673506</v>
      </c>
      <c r="DO101" s="143">
        <v>0.9999996527938544</v>
      </c>
      <c r="DP101" s="143">
        <v>0.9999999836478183</v>
      </c>
      <c r="DQ101" s="143">
        <v>0.9999999994268323</v>
      </c>
      <c r="DR101" s="143">
        <v>0.999999999985066</v>
      </c>
      <c r="DS101" s="143">
        <v>0.999999999999711</v>
      </c>
      <c r="DT101" s="143">
        <v>0.9999999999999959</v>
      </c>
      <c r="DU101" s="143">
        <v>1</v>
      </c>
      <c r="DV101" s="143">
        <v>1</v>
      </c>
    </row>
    <row r="102" spans="2:126" ht="12.75">
      <c r="B102" s="109" t="s">
        <v>455</v>
      </c>
      <c r="E102" s="132"/>
      <c r="F102" s="143">
        <v>-0.9994249819145782</v>
      </c>
      <c r="G102" s="143">
        <v>-0.9961748349116676</v>
      </c>
      <c r="H102" s="143">
        <v>-0.9807848196816906</v>
      </c>
      <c r="I102" s="143">
        <v>-0.9266149773586817</v>
      </c>
      <c r="J102" s="143">
        <v>-0.7848497209936238</v>
      </c>
      <c r="K102" s="143">
        <v>-0.5089416252318294</v>
      </c>
      <c r="L102" s="143">
        <v>-0.10954246818611986</v>
      </c>
      <c r="M102" s="143">
        <v>0.3205222328519821</v>
      </c>
      <c r="N102" s="143">
        <v>0.6649926818479122</v>
      </c>
      <c r="O102" s="143">
        <v>0.8702220249642687</v>
      </c>
      <c r="P102" s="143">
        <v>0.961160122593079</v>
      </c>
      <c r="Q102" s="143">
        <v>-0.9994249819145782</v>
      </c>
      <c r="R102" s="143">
        <v>-0.9961748349116676</v>
      </c>
      <c r="S102" s="143">
        <v>-0.9807848196816906</v>
      </c>
      <c r="T102" s="143">
        <v>-0.9266149773586817</v>
      </c>
      <c r="U102" s="143">
        <v>-0.7848497209936238</v>
      </c>
      <c r="V102" s="143">
        <v>-0.5089416252318294</v>
      </c>
      <c r="W102" s="143">
        <v>-0.10954246818611986</v>
      </c>
      <c r="X102" s="143">
        <v>0.3205222328519821</v>
      </c>
      <c r="Y102" s="143">
        <v>0.6649926818479122</v>
      </c>
      <c r="Z102" s="143">
        <v>0.8702220249642687</v>
      </c>
      <c r="AA102" s="143">
        <v>0.961160122593079</v>
      </c>
      <c r="AB102" s="143">
        <v>-0.9994249819145782</v>
      </c>
      <c r="AC102" s="143">
        <v>-0.9961748349116676</v>
      </c>
      <c r="AD102" s="143">
        <v>-0.9807848196816906</v>
      </c>
      <c r="AE102" s="143">
        <v>-0.9266149773586817</v>
      </c>
      <c r="AF102" s="143">
        <v>-0.7848497209936238</v>
      </c>
      <c r="AG102" s="143">
        <v>-0.5089416252318294</v>
      </c>
      <c r="AH102" s="143">
        <v>-0.10954246818611986</v>
      </c>
      <c r="AI102" s="143">
        <v>0.3205222328519821</v>
      </c>
      <c r="AJ102" s="143">
        <v>0.6649926818479122</v>
      </c>
      <c r="AK102" s="143">
        <v>0.8702220249642687</v>
      </c>
      <c r="AL102" s="143">
        <v>0.961160122593079</v>
      </c>
      <c r="AM102" s="143">
        <v>-0.9994249819145782</v>
      </c>
      <c r="AN102" s="143">
        <v>-0.9961748349116676</v>
      </c>
      <c r="AO102" s="143">
        <v>-0.9807848196816906</v>
      </c>
      <c r="AP102" s="143">
        <v>-0.9266149773586817</v>
      </c>
      <c r="AQ102" s="143">
        <v>-0.7848497209936238</v>
      </c>
      <c r="AR102" s="143">
        <v>-0.5089416252318294</v>
      </c>
      <c r="AS102" s="143">
        <v>-0.10954246818611986</v>
      </c>
      <c r="AT102" s="143">
        <v>0.3205222328519821</v>
      </c>
      <c r="AU102" s="143">
        <v>0.6649926818479122</v>
      </c>
      <c r="AV102" s="143">
        <v>0.8702220249642687</v>
      </c>
      <c r="AW102" s="143">
        <v>0.961160122593079</v>
      </c>
      <c r="AX102" s="143">
        <v>-0.9994249819145782</v>
      </c>
      <c r="AY102" s="143">
        <v>-0.9961748349116676</v>
      </c>
      <c r="AZ102" s="143">
        <v>-0.9807848196816906</v>
      </c>
      <c r="BA102" s="143">
        <v>-0.9266149773586817</v>
      </c>
      <c r="BB102" s="143">
        <v>-0.7848497209936238</v>
      </c>
      <c r="BC102" s="143">
        <v>-0.5089416252318294</v>
      </c>
      <c r="BD102" s="143">
        <v>-0.10954246818611986</v>
      </c>
      <c r="BE102" s="143">
        <v>0.3205222328519821</v>
      </c>
      <c r="BF102" s="143">
        <v>0.6649926818479122</v>
      </c>
      <c r="BG102" s="143">
        <v>0.8702220249642687</v>
      </c>
      <c r="BH102" s="143">
        <v>0.961160122593079</v>
      </c>
      <c r="BI102" s="143">
        <v>-0.9994249819145782</v>
      </c>
      <c r="BJ102" s="143">
        <v>-0.9961748349116676</v>
      </c>
      <c r="BK102" s="143">
        <v>-0.9807848196816906</v>
      </c>
      <c r="BL102" s="143">
        <v>-0.9266149773586817</v>
      </c>
      <c r="BM102" s="143">
        <v>-0.7848497209936238</v>
      </c>
      <c r="BN102" s="143">
        <v>-0.5089416252318294</v>
      </c>
      <c r="BO102" s="143">
        <v>-0.10954246818611986</v>
      </c>
      <c r="BP102" s="143">
        <v>0.3205222328519821</v>
      </c>
      <c r="BQ102" s="143">
        <v>0.6649926818479122</v>
      </c>
      <c r="BR102" s="143">
        <v>0.8702220249642687</v>
      </c>
      <c r="BS102" s="143">
        <v>0.961160122593079</v>
      </c>
      <c r="BT102" s="143">
        <v>-0.9994249819145782</v>
      </c>
      <c r="BU102" s="143">
        <v>-0.9961748349116676</v>
      </c>
      <c r="BV102" s="143">
        <v>-0.9807848196816906</v>
      </c>
      <c r="BW102" s="143">
        <v>-0.9266149773586817</v>
      </c>
      <c r="BX102" s="143">
        <v>-0.7848497209936238</v>
      </c>
      <c r="BY102" s="143">
        <v>-0.5089416252318294</v>
      </c>
      <c r="BZ102" s="143">
        <v>-0.10954246818611986</v>
      </c>
      <c r="CA102" s="143">
        <v>0.3205222328519821</v>
      </c>
      <c r="CB102" s="143">
        <v>0.6649926818479122</v>
      </c>
      <c r="CC102" s="143">
        <v>0.8702220249642687</v>
      </c>
      <c r="CD102" s="143">
        <v>0.961160122593079</v>
      </c>
      <c r="CE102" s="143">
        <v>-0.9994249819145782</v>
      </c>
      <c r="CF102" s="143">
        <v>-0.9961748349116676</v>
      </c>
      <c r="CG102" s="143">
        <v>-0.9807848196816906</v>
      </c>
      <c r="CH102" s="143">
        <v>-0.9266149773586817</v>
      </c>
      <c r="CI102" s="143">
        <v>-0.7848497209936238</v>
      </c>
      <c r="CJ102" s="143">
        <v>-0.5089416252318294</v>
      </c>
      <c r="CK102" s="143">
        <v>-0.10954246818611986</v>
      </c>
      <c r="CL102" s="143">
        <v>0.3205222328519821</v>
      </c>
      <c r="CM102" s="143">
        <v>0.6649926818479122</v>
      </c>
      <c r="CN102" s="143">
        <v>0.8702220249642687</v>
      </c>
      <c r="CO102" s="143">
        <v>0.961160122593079</v>
      </c>
      <c r="CP102" s="143">
        <v>-0.9994249819145782</v>
      </c>
      <c r="CQ102" s="143">
        <v>-0.9961748349116676</v>
      </c>
      <c r="CR102" s="143">
        <v>-0.9807848196816906</v>
      </c>
      <c r="CS102" s="143">
        <v>-0.9266149773586817</v>
      </c>
      <c r="CT102" s="143">
        <v>-0.7848497209936238</v>
      </c>
      <c r="CU102" s="143">
        <v>-0.5089416252318294</v>
      </c>
      <c r="CV102" s="143">
        <v>-0.10954246818611986</v>
      </c>
      <c r="CW102" s="143">
        <v>0.3205222328519821</v>
      </c>
      <c r="CX102" s="143">
        <v>0.6649926818479122</v>
      </c>
      <c r="CY102" s="143">
        <v>0.8702220249642687</v>
      </c>
      <c r="CZ102" s="143">
        <v>0.961160122593079</v>
      </c>
      <c r="DA102" s="143">
        <v>-0.9994249819145782</v>
      </c>
      <c r="DB102" s="143">
        <v>-0.9961748349116676</v>
      </c>
      <c r="DC102" s="143">
        <v>-0.9807848196816906</v>
      </c>
      <c r="DD102" s="143">
        <v>-0.9266149773586817</v>
      </c>
      <c r="DE102" s="143">
        <v>-0.7848497209936238</v>
      </c>
      <c r="DF102" s="143">
        <v>-0.5089416252318294</v>
      </c>
      <c r="DG102" s="143">
        <v>-0.10954246818611986</v>
      </c>
      <c r="DH102" s="143">
        <v>0.3205222328519821</v>
      </c>
      <c r="DI102" s="143">
        <v>0.6649926818479122</v>
      </c>
      <c r="DJ102" s="143">
        <v>0.8702220249642687</v>
      </c>
      <c r="DK102" s="143">
        <v>0.961160122593079</v>
      </c>
      <c r="DL102" s="143">
        <v>-0.9994249819145782</v>
      </c>
      <c r="DM102" s="143">
        <v>-0.9961748349116676</v>
      </c>
      <c r="DN102" s="143">
        <v>-0.9807848196816906</v>
      </c>
      <c r="DO102" s="143">
        <v>-0.9266149773586817</v>
      </c>
      <c r="DP102" s="143">
        <v>-0.7848497209936238</v>
      </c>
      <c r="DQ102" s="143">
        <v>-0.5089416252318294</v>
      </c>
      <c r="DR102" s="143">
        <v>-0.10954246818611986</v>
      </c>
      <c r="DS102" s="143">
        <v>0.3205222328519821</v>
      </c>
      <c r="DT102" s="143">
        <v>0.6649926818479122</v>
      </c>
      <c r="DU102" s="143">
        <v>0.8702220249642687</v>
      </c>
      <c r="DV102" s="143">
        <v>0.961160122593079</v>
      </c>
    </row>
    <row r="103" spans="2:126" ht="12.75">
      <c r="B103" s="109" t="s">
        <v>456</v>
      </c>
      <c r="E103" s="132"/>
      <c r="F103" s="143">
        <v>0.30605038659593437</v>
      </c>
      <c r="G103" s="143">
        <v>0.30605038659593437</v>
      </c>
      <c r="H103" s="143">
        <v>0.30605038659593437</v>
      </c>
      <c r="I103" s="143">
        <v>0.30605038659593437</v>
      </c>
      <c r="J103" s="143">
        <v>0.30605038659593437</v>
      </c>
      <c r="K103" s="143">
        <v>0.30605038659593437</v>
      </c>
      <c r="L103" s="143">
        <v>0.30605038659593437</v>
      </c>
      <c r="M103" s="143">
        <v>0.30605038659593437</v>
      </c>
      <c r="N103" s="143">
        <v>0.30605038659593437</v>
      </c>
      <c r="O103" s="143">
        <v>0.30605038659593437</v>
      </c>
      <c r="P103" s="143">
        <v>0.30605038659593437</v>
      </c>
      <c r="Q103" s="143">
        <v>0.0939721560011156</v>
      </c>
      <c r="R103" s="143">
        <v>0.0939721560011156</v>
      </c>
      <c r="S103" s="143">
        <v>0.0939721560011156</v>
      </c>
      <c r="T103" s="143">
        <v>0.0939721560011156</v>
      </c>
      <c r="U103" s="143">
        <v>0.0939721560011156</v>
      </c>
      <c r="V103" s="143">
        <v>0.0939721560011156</v>
      </c>
      <c r="W103" s="143">
        <v>0.0939721560011156</v>
      </c>
      <c r="X103" s="143">
        <v>0.0939721560011156</v>
      </c>
      <c r="Y103" s="143">
        <v>0.0939721560011156</v>
      </c>
      <c r="Z103" s="143">
        <v>0.0939721560011156</v>
      </c>
      <c r="AA103" s="143">
        <v>0.0939721560011156</v>
      </c>
      <c r="AB103" s="143">
        <v>-0.12507064715253807</v>
      </c>
      <c r="AC103" s="143">
        <v>-0.12507064715253807</v>
      </c>
      <c r="AD103" s="143">
        <v>-0.12507064715253807</v>
      </c>
      <c r="AE103" s="143">
        <v>-0.12507064715253807</v>
      </c>
      <c r="AF103" s="143">
        <v>-0.12507064715253807</v>
      </c>
      <c r="AG103" s="143">
        <v>-0.12507064715253807</v>
      </c>
      <c r="AH103" s="143">
        <v>-0.12507064715253807</v>
      </c>
      <c r="AI103" s="143">
        <v>-0.12507064715253807</v>
      </c>
      <c r="AJ103" s="143">
        <v>-0.12507064715253807</v>
      </c>
      <c r="AK103" s="143">
        <v>-0.12507064715253807</v>
      </c>
      <c r="AL103" s="143">
        <v>-0.12507064715253807</v>
      </c>
      <c r="AM103" s="143">
        <v>-0.33487691445408135</v>
      </c>
      <c r="AN103" s="143">
        <v>-0.33487691445408135</v>
      </c>
      <c r="AO103" s="143">
        <v>-0.33487691445408135</v>
      </c>
      <c r="AP103" s="143">
        <v>-0.33487691445408135</v>
      </c>
      <c r="AQ103" s="143">
        <v>-0.33487691445408135</v>
      </c>
      <c r="AR103" s="143">
        <v>-0.33487691445408135</v>
      </c>
      <c r="AS103" s="143">
        <v>-0.33487691445408135</v>
      </c>
      <c r="AT103" s="143">
        <v>-0.33487691445408135</v>
      </c>
      <c r="AU103" s="143">
        <v>-0.33487691445408135</v>
      </c>
      <c r="AV103" s="143">
        <v>-0.33487691445408135</v>
      </c>
      <c r="AW103" s="143">
        <v>-0.33487691445408135</v>
      </c>
      <c r="AX103" s="143">
        <v>-0.5212419452068756</v>
      </c>
      <c r="AY103" s="143">
        <v>-0.5212419452068756</v>
      </c>
      <c r="AZ103" s="143">
        <v>-0.5212419452068756</v>
      </c>
      <c r="BA103" s="143">
        <v>-0.5212419452068756</v>
      </c>
      <c r="BB103" s="143">
        <v>-0.5212419452068756</v>
      </c>
      <c r="BC103" s="143">
        <v>-0.5212419452068756</v>
      </c>
      <c r="BD103" s="143">
        <v>-0.5212419452068756</v>
      </c>
      <c r="BE103" s="143">
        <v>-0.5212419452068756</v>
      </c>
      <c r="BF103" s="143">
        <v>-0.5212419452068756</v>
      </c>
      <c r="BG103" s="143">
        <v>-0.5212419452068756</v>
      </c>
      <c r="BH103" s="143">
        <v>-0.5212419452068756</v>
      </c>
      <c r="BI103" s="143">
        <v>-0.6747625563033449</v>
      </c>
      <c r="BJ103" s="143">
        <v>-0.6747625563033449</v>
      </c>
      <c r="BK103" s="143">
        <v>-0.6747625563033449</v>
      </c>
      <c r="BL103" s="143">
        <v>-0.6747625563033449</v>
      </c>
      <c r="BM103" s="143">
        <v>-0.6747625563033449</v>
      </c>
      <c r="BN103" s="143">
        <v>-0.6747625563033449</v>
      </c>
      <c r="BO103" s="143">
        <v>-0.6747625563033449</v>
      </c>
      <c r="BP103" s="143">
        <v>-0.6747625563033449</v>
      </c>
      <c r="BQ103" s="143">
        <v>-0.6747625563033449</v>
      </c>
      <c r="BR103" s="143">
        <v>-0.6747625563033449</v>
      </c>
      <c r="BS103" s="143">
        <v>-0.6747625563033449</v>
      </c>
      <c r="BT103" s="143">
        <v>-0.7920427347975054</v>
      </c>
      <c r="BU103" s="143">
        <v>-0.7920427347975054</v>
      </c>
      <c r="BV103" s="143">
        <v>-0.7920427347975054</v>
      </c>
      <c r="BW103" s="143">
        <v>-0.7920427347975054</v>
      </c>
      <c r="BX103" s="143">
        <v>-0.7920427347975054</v>
      </c>
      <c r="BY103" s="143">
        <v>-0.7920427347975054</v>
      </c>
      <c r="BZ103" s="143">
        <v>-0.7920427347975054</v>
      </c>
      <c r="CA103" s="143">
        <v>-0.7920427347975054</v>
      </c>
      <c r="CB103" s="143">
        <v>-0.7920427347975054</v>
      </c>
      <c r="CC103" s="143">
        <v>-0.7920427347975054</v>
      </c>
      <c r="CD103" s="143">
        <v>-0.7920427347975054</v>
      </c>
      <c r="CE103" s="143">
        <v>-0.8751309322669732</v>
      </c>
      <c r="CF103" s="143">
        <v>-0.8751309322669732</v>
      </c>
      <c r="CG103" s="143">
        <v>-0.8751309322669732</v>
      </c>
      <c r="CH103" s="143">
        <v>-0.8751309322669732</v>
      </c>
      <c r="CI103" s="143">
        <v>-0.8751309322669732</v>
      </c>
      <c r="CJ103" s="143">
        <v>-0.8751309322669732</v>
      </c>
      <c r="CK103" s="143">
        <v>-0.8751309322669732</v>
      </c>
      <c r="CL103" s="143">
        <v>-0.8751309322669732</v>
      </c>
      <c r="CM103" s="143">
        <v>-0.8751309322669732</v>
      </c>
      <c r="CN103" s="143">
        <v>-0.8751309322669732</v>
      </c>
      <c r="CO103" s="143">
        <v>-0.8751309322669732</v>
      </c>
      <c r="CP103" s="143">
        <v>-0.9297202984411088</v>
      </c>
      <c r="CQ103" s="143">
        <v>-0.9297202984411088</v>
      </c>
      <c r="CR103" s="143">
        <v>-0.9297202984411088</v>
      </c>
      <c r="CS103" s="143">
        <v>-0.9297202984411088</v>
      </c>
      <c r="CT103" s="143">
        <v>-0.9297202984411088</v>
      </c>
      <c r="CU103" s="143">
        <v>-0.9297202984411088</v>
      </c>
      <c r="CV103" s="143">
        <v>-0.9297202984411088</v>
      </c>
      <c r="CW103" s="143">
        <v>-0.9297202984411088</v>
      </c>
      <c r="CX103" s="143">
        <v>-0.9297202984411088</v>
      </c>
      <c r="CY103" s="143">
        <v>-0.9297202984411088</v>
      </c>
      <c r="CZ103" s="143">
        <v>-0.9297202984411088</v>
      </c>
      <c r="DA103" s="143">
        <v>-0.9629809860841984</v>
      </c>
      <c r="DB103" s="143">
        <v>-0.9629809860841984</v>
      </c>
      <c r="DC103" s="143">
        <v>-0.9629809860841984</v>
      </c>
      <c r="DD103" s="143">
        <v>-0.9629809860841984</v>
      </c>
      <c r="DE103" s="143">
        <v>-0.9629809860841984</v>
      </c>
      <c r="DF103" s="143">
        <v>-0.9629809860841984</v>
      </c>
      <c r="DG103" s="143">
        <v>-0.9629809860841984</v>
      </c>
      <c r="DH103" s="143">
        <v>-0.9629809860841984</v>
      </c>
      <c r="DI103" s="143">
        <v>-0.9629809860841984</v>
      </c>
      <c r="DJ103" s="143">
        <v>-0.9629809860841984</v>
      </c>
      <c r="DK103" s="143">
        <v>-0.9629809860841984</v>
      </c>
      <c r="DL103" s="143">
        <v>-0.9817745118552027</v>
      </c>
      <c r="DM103" s="143">
        <v>-0.9817745118552027</v>
      </c>
      <c r="DN103" s="143">
        <v>-0.9817745118552027</v>
      </c>
      <c r="DO103" s="143">
        <v>-0.9817745118552027</v>
      </c>
      <c r="DP103" s="143">
        <v>-0.9817745118552027</v>
      </c>
      <c r="DQ103" s="143">
        <v>-0.9817745118552027</v>
      </c>
      <c r="DR103" s="143">
        <v>-0.9817745118552027</v>
      </c>
      <c r="DS103" s="143">
        <v>-0.9817745118552027</v>
      </c>
      <c r="DT103" s="143">
        <v>-0.9817745118552027</v>
      </c>
      <c r="DU103" s="143">
        <v>-0.9817745118552027</v>
      </c>
      <c r="DV103" s="143">
        <v>-0.9817745118552027</v>
      </c>
    </row>
    <row r="104" spans="2:126" ht="13.5" thickBot="1">
      <c r="B104" s="109" t="s">
        <v>457</v>
      </c>
      <c r="E104" s="132"/>
      <c r="F104" s="144">
        <v>-0.30605038659593437</v>
      </c>
      <c r="G104" s="144">
        <v>-0.30605038659593437</v>
      </c>
      <c r="H104" s="144">
        <v>-0.30605038659593437</v>
      </c>
      <c r="I104" s="144">
        <v>-0.30605038659593437</v>
      </c>
      <c r="J104" s="144">
        <v>-0.30605038659593437</v>
      </c>
      <c r="K104" s="144">
        <v>-0.30605038659593437</v>
      </c>
      <c r="L104" s="144">
        <v>-0.30605038659593437</v>
      </c>
      <c r="M104" s="144">
        <v>-0.30605038659593437</v>
      </c>
      <c r="N104" s="144">
        <v>-0.30605038659593437</v>
      </c>
      <c r="O104" s="144">
        <v>-0.30605038659593437</v>
      </c>
      <c r="P104" s="144">
        <v>-0.30605038659593437</v>
      </c>
      <c r="Q104" s="144">
        <v>-0.4964735224047218</v>
      </c>
      <c r="R104" s="144">
        <v>-0.4964735224047218</v>
      </c>
      <c r="S104" s="144">
        <v>-0.4964735224047218</v>
      </c>
      <c r="T104" s="144">
        <v>-0.4964735224047218</v>
      </c>
      <c r="U104" s="144">
        <v>-0.4964735224047218</v>
      </c>
      <c r="V104" s="144">
        <v>-0.4964735224047218</v>
      </c>
      <c r="W104" s="144">
        <v>-0.4964735224047218</v>
      </c>
      <c r="X104" s="144">
        <v>-0.4964735224047218</v>
      </c>
      <c r="Y104" s="144">
        <v>-0.4964735224047218</v>
      </c>
      <c r="Z104" s="144">
        <v>-0.4964735224047218</v>
      </c>
      <c r="AA104" s="144">
        <v>-0.4964735224047218</v>
      </c>
      <c r="AB104" s="144">
        <v>-0.6550357263721022</v>
      </c>
      <c r="AC104" s="144">
        <v>-0.6550357263721022</v>
      </c>
      <c r="AD104" s="144">
        <v>-0.6550357263721022</v>
      </c>
      <c r="AE104" s="144">
        <v>-0.6550357263721022</v>
      </c>
      <c r="AF104" s="144">
        <v>-0.6550357263721022</v>
      </c>
      <c r="AG104" s="144">
        <v>-0.6550357263721022</v>
      </c>
      <c r="AH104" s="144">
        <v>-0.6550357263721022</v>
      </c>
      <c r="AI104" s="144">
        <v>-0.6550357263721022</v>
      </c>
      <c r="AJ104" s="144">
        <v>-0.6550357263721022</v>
      </c>
      <c r="AK104" s="144">
        <v>-0.6550357263721022</v>
      </c>
      <c r="AL104" s="144">
        <v>-0.6550357263721022</v>
      </c>
      <c r="AM104" s="144">
        <v>-0.7774790895912966</v>
      </c>
      <c r="AN104" s="144">
        <v>-0.7774790895912966</v>
      </c>
      <c r="AO104" s="144">
        <v>-0.7774790895912966</v>
      </c>
      <c r="AP104" s="144">
        <v>-0.7774790895912966</v>
      </c>
      <c r="AQ104" s="144">
        <v>-0.7774790895912966</v>
      </c>
      <c r="AR104" s="144">
        <v>-0.7774790895912966</v>
      </c>
      <c r="AS104" s="144">
        <v>-0.7774790895912966</v>
      </c>
      <c r="AT104" s="144">
        <v>-0.7774790895912966</v>
      </c>
      <c r="AU104" s="144">
        <v>-0.7774790895912966</v>
      </c>
      <c r="AV104" s="144">
        <v>-0.7774790895912966</v>
      </c>
      <c r="AW104" s="144">
        <v>-0.7774790895912966</v>
      </c>
      <c r="AX104" s="144">
        <v>-0.8651645967621829</v>
      </c>
      <c r="AY104" s="144">
        <v>-0.8651645967621829</v>
      </c>
      <c r="AZ104" s="144">
        <v>-0.8651645967621829</v>
      </c>
      <c r="BA104" s="144">
        <v>-0.8651645967621829</v>
      </c>
      <c r="BB104" s="144">
        <v>-0.8651645967621829</v>
      </c>
      <c r="BC104" s="144">
        <v>-0.8651645967621829</v>
      </c>
      <c r="BD104" s="144">
        <v>-0.8651645967621829</v>
      </c>
      <c r="BE104" s="144">
        <v>-0.8651645967621829</v>
      </c>
      <c r="BF104" s="144">
        <v>-0.8651645967621829</v>
      </c>
      <c r="BG104" s="144">
        <v>-0.8651645967621829</v>
      </c>
      <c r="BH104" s="144">
        <v>-0.8651645967621829</v>
      </c>
      <c r="BI104" s="144">
        <v>-0.923398319497803</v>
      </c>
      <c r="BJ104" s="144">
        <v>-0.923398319497803</v>
      </c>
      <c r="BK104" s="144">
        <v>-0.923398319497803</v>
      </c>
      <c r="BL104" s="144">
        <v>-0.923398319497803</v>
      </c>
      <c r="BM104" s="144">
        <v>-0.923398319497803</v>
      </c>
      <c r="BN104" s="144">
        <v>-0.923398319497803</v>
      </c>
      <c r="BO104" s="144">
        <v>-0.923398319497803</v>
      </c>
      <c r="BP104" s="144">
        <v>-0.923398319497803</v>
      </c>
      <c r="BQ104" s="144">
        <v>-0.923398319497803</v>
      </c>
      <c r="BR104" s="144">
        <v>-0.923398319497803</v>
      </c>
      <c r="BS104" s="144">
        <v>-0.923398319497803</v>
      </c>
      <c r="BT104" s="144">
        <v>-0.9592637213603651</v>
      </c>
      <c r="BU104" s="144">
        <v>-0.9592637213603651</v>
      </c>
      <c r="BV104" s="144">
        <v>-0.9592637213603651</v>
      </c>
      <c r="BW104" s="144">
        <v>-0.9592637213603651</v>
      </c>
      <c r="BX104" s="144">
        <v>-0.9592637213603651</v>
      </c>
      <c r="BY104" s="144">
        <v>-0.9592637213603651</v>
      </c>
      <c r="BZ104" s="144">
        <v>-0.9592637213603651</v>
      </c>
      <c r="CA104" s="144">
        <v>-0.9592637213603651</v>
      </c>
      <c r="CB104" s="144">
        <v>-0.9592637213603651</v>
      </c>
      <c r="CC104" s="144">
        <v>-0.9592637213603651</v>
      </c>
      <c r="CD104" s="144">
        <v>-0.9592637213603651</v>
      </c>
      <c r="CE104" s="144">
        <v>-0.9797484716805623</v>
      </c>
      <c r="CF104" s="144">
        <v>-0.9797484716805623</v>
      </c>
      <c r="CG104" s="144">
        <v>-0.9797484716805623</v>
      </c>
      <c r="CH104" s="144">
        <v>-0.9797484716805623</v>
      </c>
      <c r="CI104" s="144">
        <v>-0.9797484716805623</v>
      </c>
      <c r="CJ104" s="144">
        <v>-0.9797484716805623</v>
      </c>
      <c r="CK104" s="144">
        <v>-0.9797484716805623</v>
      </c>
      <c r="CL104" s="144">
        <v>-0.9797484716805623</v>
      </c>
      <c r="CM104" s="144">
        <v>-0.9797484716805623</v>
      </c>
      <c r="CN104" s="144">
        <v>-0.9797484716805623</v>
      </c>
      <c r="CO104" s="144">
        <v>-0.9797484716805623</v>
      </c>
      <c r="CP104" s="144">
        <v>-0.9905986939566332</v>
      </c>
      <c r="CQ104" s="144">
        <v>-0.9905986939566332</v>
      </c>
      <c r="CR104" s="144">
        <v>-0.9905986939566332</v>
      </c>
      <c r="CS104" s="144">
        <v>-0.9905986939566332</v>
      </c>
      <c r="CT104" s="144">
        <v>-0.9905986939566332</v>
      </c>
      <c r="CU104" s="144">
        <v>-0.9905986939566332</v>
      </c>
      <c r="CV104" s="144">
        <v>-0.9905986939566332</v>
      </c>
      <c r="CW104" s="144">
        <v>-0.9905986939566332</v>
      </c>
      <c r="CX104" s="144">
        <v>-0.9905986939566332</v>
      </c>
      <c r="CY104" s="144">
        <v>-0.9905986939566332</v>
      </c>
      <c r="CZ104" s="144">
        <v>-0.9905986939566332</v>
      </c>
      <c r="DA104" s="144">
        <v>-0.9959283411963272</v>
      </c>
      <c r="DB104" s="144">
        <v>-0.9959283411963272</v>
      </c>
      <c r="DC104" s="144">
        <v>-0.9959283411963272</v>
      </c>
      <c r="DD104" s="144">
        <v>-0.9959283411963272</v>
      </c>
      <c r="DE104" s="144">
        <v>-0.9959283411963272</v>
      </c>
      <c r="DF104" s="144">
        <v>-0.9959283411963272</v>
      </c>
      <c r="DG104" s="144">
        <v>-0.9959283411963272</v>
      </c>
      <c r="DH104" s="144">
        <v>-0.9959283411963272</v>
      </c>
      <c r="DI104" s="144">
        <v>-0.9959283411963272</v>
      </c>
      <c r="DJ104" s="144">
        <v>-0.9959283411963272</v>
      </c>
      <c r="DK104" s="144">
        <v>-0.9959283411963272</v>
      </c>
      <c r="DL104" s="144">
        <v>-0.9983561201802882</v>
      </c>
      <c r="DM104" s="144">
        <v>-0.9983561201802882</v>
      </c>
      <c r="DN104" s="144">
        <v>-0.9983561201802882</v>
      </c>
      <c r="DO104" s="144">
        <v>-0.9983561201802882</v>
      </c>
      <c r="DP104" s="144">
        <v>-0.9983561201802882</v>
      </c>
      <c r="DQ104" s="144">
        <v>-0.9983561201802882</v>
      </c>
      <c r="DR104" s="144">
        <v>-0.9983561201802882</v>
      </c>
      <c r="DS104" s="144">
        <v>-0.9983561201802882</v>
      </c>
      <c r="DT104" s="144">
        <v>-0.9983561201802882</v>
      </c>
      <c r="DU104" s="144">
        <v>-0.9983561201802882</v>
      </c>
      <c r="DV104" s="144">
        <v>-0.9983561201802882</v>
      </c>
    </row>
    <row r="105" spans="2:17" ht="12.75">
      <c r="B105" s="103" t="s">
        <v>461</v>
      </c>
      <c r="D105" s="132"/>
      <c r="F105" s="103">
        <f>EXP(-ksource*(t_SWLoad-X_SWLoad/Vc))</f>
        <v>0.40803678011352246</v>
      </c>
      <c r="Q105" s="133"/>
    </row>
    <row r="106" spans="4:17" ht="12.75">
      <c r="D106" s="132"/>
      <c r="Q106" s="133"/>
    </row>
    <row r="107" spans="4:17" ht="12.75">
      <c r="D107" s="132"/>
      <c r="Q107" s="133"/>
    </row>
    <row r="108" spans="4:17" ht="12.75">
      <c r="D108" s="132"/>
      <c r="Q108" s="133"/>
    </row>
    <row r="109" spans="4:17" ht="12.75">
      <c r="D109" s="132"/>
      <c r="Q109" s="133"/>
    </row>
    <row r="110" spans="4:17" ht="12.75">
      <c r="D110" s="132"/>
      <c r="E110" s="132"/>
      <c r="F110" s="132"/>
      <c r="G110" s="132"/>
      <c r="H110" s="132"/>
      <c r="I110" s="132"/>
      <c r="J110" s="132"/>
      <c r="K110" s="132"/>
      <c r="L110" s="132"/>
      <c r="M110" s="132"/>
      <c r="N110" s="132"/>
      <c r="O110" s="132"/>
      <c r="P110" s="132"/>
      <c r="Q110" s="133"/>
    </row>
    <row r="111" spans="4:17" ht="12.75">
      <c r="D111" s="132"/>
      <c r="E111" s="132"/>
      <c r="F111" s="132"/>
      <c r="G111" s="132"/>
      <c r="H111" s="132"/>
      <c r="I111" s="132"/>
      <c r="J111" s="132"/>
      <c r="K111" s="132"/>
      <c r="L111" s="132"/>
      <c r="M111" s="132"/>
      <c r="N111" s="132"/>
      <c r="O111" s="132"/>
      <c r="P111" s="132"/>
      <c r="Q111" s="133"/>
    </row>
  </sheetData>
  <sheetProtection/>
  <mergeCells count="14">
    <mergeCell ref="B53:B63"/>
    <mergeCell ref="F85:P85"/>
    <mergeCell ref="Q85:AA85"/>
    <mergeCell ref="AM85:AW85"/>
    <mergeCell ref="B67:B77"/>
    <mergeCell ref="BI85:BS85"/>
    <mergeCell ref="AX85:BH85"/>
    <mergeCell ref="I21:M22"/>
    <mergeCell ref="AI85:AL85"/>
    <mergeCell ref="DL85:DV85"/>
    <mergeCell ref="BT85:CD85"/>
    <mergeCell ref="CE85:CO85"/>
    <mergeCell ref="CP85:CZ85"/>
    <mergeCell ref="DA85:DK85"/>
  </mergeCells>
  <printOptions horizontalCentered="1" verticalCentered="1"/>
  <pageMargins left="0.75" right="0.75" top="1" bottom="1" header="0.5" footer="0.5"/>
  <pageSetup blackAndWhite="1" fitToHeight="1" fitToWidth="1" horizontalDpi="600" verticalDpi="600" orientation="landscape" scale="97" r:id="rId4"/>
  <headerFooter alignWithMargins="0">
    <oddHeader>&amp;LWashington State Department of Ecology: TCP program&amp;R&amp;D</oddHeader>
    <oddFooter>&amp;R
&amp;A</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EO109"/>
  <sheetViews>
    <sheetView showGridLines="0" showRowColHeaders="0" zoomScale="77" zoomScaleNormal="77" zoomScalePageLayoutView="0" workbookViewId="0" topLeftCell="A1">
      <selection activeCell="O23" sqref="O23"/>
    </sheetView>
  </sheetViews>
  <sheetFormatPr defaultColWidth="9.00390625" defaultRowHeight="12.75"/>
  <cols>
    <col min="1" max="1" width="0.6171875" style="524" customWidth="1"/>
    <col min="2" max="2" width="5.75390625" style="524" customWidth="1"/>
    <col min="3" max="3" width="1.4921875" style="524" hidden="1" customWidth="1"/>
    <col min="4" max="4" width="6.75390625" style="524" customWidth="1"/>
    <col min="5" max="5" width="3.50390625" style="524" customWidth="1"/>
    <col min="6" max="6" width="2.625" style="524" customWidth="1"/>
    <col min="7" max="7" width="2.50390625" style="524" customWidth="1"/>
    <col min="8" max="8" width="10.375" style="524" customWidth="1"/>
    <col min="9" max="9" width="15.375" style="524" customWidth="1"/>
    <col min="10" max="10" width="9.25390625" style="524" customWidth="1"/>
    <col min="11" max="11" width="5.625" style="524" customWidth="1"/>
    <col min="12" max="12" width="13.625" style="524" customWidth="1"/>
    <col min="13" max="13" width="9.00390625" style="524" customWidth="1"/>
    <col min="14" max="14" width="3.50390625" style="524" customWidth="1"/>
    <col min="15" max="15" width="20.375" style="524" customWidth="1"/>
    <col min="16" max="16" width="16.75390625" style="524" customWidth="1"/>
    <col min="17" max="17" width="15.625" style="524" customWidth="1"/>
    <col min="18" max="18" width="0.74609375" style="524" customWidth="1"/>
    <col min="19" max="19" width="0.6171875" style="524" customWidth="1"/>
    <col min="20" max="20" width="3.125" style="524" customWidth="1"/>
    <col min="21" max="21" width="6.375" style="524" customWidth="1"/>
    <col min="22" max="22" width="8.125" style="524" customWidth="1"/>
    <col min="23" max="23" width="8.75390625" style="524" customWidth="1"/>
    <col min="24" max="24" width="11.625" style="524" bestFit="1" customWidth="1"/>
    <col min="25" max="25" width="9.75390625" style="524" bestFit="1" customWidth="1"/>
    <col min="26" max="26" width="6.75390625" style="524" customWidth="1"/>
    <col min="27" max="27" width="9.50390625" style="524" bestFit="1" customWidth="1"/>
    <col min="28" max="29" width="8.875" style="524" customWidth="1"/>
    <col min="30" max="30" width="11.50390625" style="524" customWidth="1"/>
    <col min="31" max="31" width="8.50390625" style="524" customWidth="1"/>
    <col min="32" max="33" width="7.375" style="524" customWidth="1"/>
    <col min="34" max="34" width="8.625" style="524" customWidth="1"/>
    <col min="35" max="35" width="9.625" style="524" customWidth="1"/>
    <col min="36" max="36" width="8.625" style="524" customWidth="1"/>
    <col min="37" max="82" width="7.375" style="524" customWidth="1"/>
    <col min="83" max="141" width="9.75390625" style="524" customWidth="1"/>
    <col min="142" max="142" width="6.25390625" style="524" customWidth="1"/>
    <col min="143" max="143" width="6.625" style="524" customWidth="1"/>
    <col min="144" max="164" width="8.75390625" style="524" customWidth="1"/>
    <col min="165" max="165" width="6.75390625" style="524" customWidth="1"/>
    <col min="166" max="16384" width="8.875" style="524" customWidth="1"/>
  </cols>
  <sheetData>
    <row r="1" spans="1:17" ht="15" customHeight="1">
      <c r="A1" s="342"/>
      <c r="B1" s="1367" t="s">
        <v>690</v>
      </c>
      <c r="C1" s="1367"/>
      <c r="D1" s="1367"/>
      <c r="E1" s="1367"/>
      <c r="F1" s="1367"/>
      <c r="G1" s="1367"/>
      <c r="H1" s="1367"/>
      <c r="I1" s="1367"/>
      <c r="J1" s="1367"/>
      <c r="K1" s="1367"/>
      <c r="L1" s="1367"/>
      <c r="M1" s="342"/>
      <c r="N1" s="292" t="str">
        <f>Input!H1</f>
        <v>Site Name:</v>
      </c>
      <c r="O1" s="340" t="str">
        <f>site_name</f>
        <v>Dummy XYZ site</v>
      </c>
      <c r="P1" s="342"/>
      <c r="Q1" s="342"/>
    </row>
    <row r="2" spans="1:18" ht="17.25" customHeight="1" thickBot="1">
      <c r="A2" s="342"/>
      <c r="B2" s="1368"/>
      <c r="C2" s="1368"/>
      <c r="D2" s="1368"/>
      <c r="E2" s="1368"/>
      <c r="F2" s="1368"/>
      <c r="G2" s="1134"/>
      <c r="H2" s="1134"/>
      <c r="I2" s="1134"/>
      <c r="J2" s="1134"/>
      <c r="K2" s="476"/>
      <c r="L2" s="476"/>
      <c r="M2" s="476"/>
      <c r="N2" s="454" t="str">
        <f>Input!H2</f>
        <v>Site Address:</v>
      </c>
      <c r="O2" s="341" t="str">
        <f>site_address</f>
        <v>1234, Olympia, WA 98501</v>
      </c>
      <c r="P2" s="476"/>
      <c r="Q2" s="476"/>
      <c r="R2" s="1014"/>
    </row>
    <row r="3" spans="1:18" ht="16.5" thickTop="1">
      <c r="A3" s="342"/>
      <c r="B3" s="328" t="s">
        <v>506</v>
      </c>
      <c r="C3" s="328"/>
      <c r="D3" s="328"/>
      <c r="E3" s="328"/>
      <c r="F3" s="328"/>
      <c r="G3" s="328"/>
      <c r="H3" s="328"/>
      <c r="I3" s="498"/>
      <c r="J3" s="498"/>
      <c r="K3" s="498"/>
      <c r="L3" s="498"/>
      <c r="M3" s="556"/>
      <c r="N3" s="340"/>
      <c r="O3" s="498"/>
      <c r="P3" s="498"/>
      <c r="Q3" s="498"/>
      <c r="R3" s="766"/>
    </row>
    <row r="4" spans="1:17" ht="12.75">
      <c r="A4" s="342"/>
      <c r="B4" s="342" t="str">
        <f>Input!B19</f>
        <v>Hazardous Substance:</v>
      </c>
      <c r="C4" s="342"/>
      <c r="D4" s="342"/>
      <c r="E4" s="342"/>
      <c r="F4" s="342"/>
      <c r="G4" s="342"/>
      <c r="H4" s="342"/>
      <c r="I4" s="581" t="str">
        <f>chemical_selec</f>
        <v>Benzene</v>
      </c>
      <c r="J4" s="342"/>
      <c r="K4" s="541"/>
      <c r="L4" s="342"/>
      <c r="M4" s="301"/>
      <c r="N4" s="342"/>
      <c r="O4" s="342"/>
      <c r="P4" s="342"/>
      <c r="Q4" s="342"/>
    </row>
    <row r="5" spans="1:17" ht="12.75">
      <c r="A5" s="342"/>
      <c r="B5" s="342" t="s">
        <v>275</v>
      </c>
      <c r="C5" s="342"/>
      <c r="D5" s="342"/>
      <c r="E5" s="342"/>
      <c r="F5" s="342"/>
      <c r="G5" s="342"/>
      <c r="H5" s="342"/>
      <c r="I5" s="581">
        <f>Total_Mass</f>
        <v>150</v>
      </c>
      <c r="J5" s="342"/>
      <c r="K5" s="498"/>
      <c r="L5" s="342"/>
      <c r="M5" s="342"/>
      <c r="N5" s="342"/>
      <c r="O5" s="342"/>
      <c r="P5" s="342"/>
      <c r="Q5" s="342"/>
    </row>
    <row r="6" spans="1:17" ht="15.75">
      <c r="A6" s="342"/>
      <c r="B6" s="268" t="s">
        <v>655</v>
      </c>
      <c r="C6" s="342"/>
      <c r="D6" s="342"/>
      <c r="E6" s="342"/>
      <c r="F6" s="342"/>
      <c r="G6" s="342"/>
      <c r="H6" s="342"/>
      <c r="I6" s="581">
        <f>t</f>
        <v>5</v>
      </c>
      <c r="J6" s="342"/>
      <c r="K6" s="498"/>
      <c r="L6" s="477" t="s">
        <v>521</v>
      </c>
      <c r="M6" s="342"/>
      <c r="N6" s="342"/>
      <c r="O6" s="342"/>
      <c r="P6" s="342"/>
      <c r="Q6" s="342"/>
    </row>
    <row r="7" spans="1:17" ht="16.5">
      <c r="A7" s="342"/>
      <c r="B7" s="268" t="s">
        <v>562</v>
      </c>
      <c r="C7" s="342"/>
      <c r="D7" s="342"/>
      <c r="E7" s="342"/>
      <c r="F7" s="342"/>
      <c r="G7" s="342"/>
      <c r="H7" s="342"/>
      <c r="I7" s="582">
        <f>Vs</f>
        <v>113.81102362204727</v>
      </c>
      <c r="J7" s="342"/>
      <c r="K7" s="498"/>
      <c r="L7" s="342" t="s">
        <v>274</v>
      </c>
      <c r="M7" s="342"/>
      <c r="N7" s="342"/>
      <c r="O7" s="542">
        <v>0.001</v>
      </c>
      <c r="P7" s="342"/>
      <c r="Q7" s="342"/>
    </row>
    <row r="8" spans="1:17" ht="15" customHeight="1">
      <c r="A8" s="342"/>
      <c r="B8" s="268" t="s">
        <v>563</v>
      </c>
      <c r="C8" s="342"/>
      <c r="D8" s="342"/>
      <c r="E8" s="342"/>
      <c r="F8" s="342"/>
      <c r="G8" s="342"/>
      <c r="H8" s="342"/>
      <c r="I8" s="582">
        <f>alpha.x</f>
        <v>13.454496930271189</v>
      </c>
      <c r="J8" s="342"/>
      <c r="K8" s="498"/>
      <c r="L8" s="342" t="s">
        <v>545</v>
      </c>
      <c r="M8" s="342"/>
      <c r="N8" s="342"/>
      <c r="O8" s="1028">
        <v>37</v>
      </c>
      <c r="P8" s="342"/>
      <c r="Q8" s="342"/>
    </row>
    <row r="9" spans="1:17" ht="15" customHeight="1">
      <c r="A9" s="342"/>
      <c r="B9" s="268" t="s">
        <v>564</v>
      </c>
      <c r="C9" s="342"/>
      <c r="D9" s="342"/>
      <c r="E9" s="342"/>
      <c r="F9" s="342"/>
      <c r="G9" s="342"/>
      <c r="H9" s="342"/>
      <c r="I9" s="582">
        <f>alpha.y</f>
        <v>1.345449693027119</v>
      </c>
      <c r="J9" s="342"/>
      <c r="K9" s="498"/>
      <c r="L9" s="342" t="s">
        <v>652</v>
      </c>
      <c r="M9" s="342"/>
      <c r="N9" s="342"/>
      <c r="O9" s="542">
        <v>50</v>
      </c>
      <c r="P9" s="342"/>
      <c r="Q9" s="342"/>
    </row>
    <row r="10" spans="1:17" ht="12.75">
      <c r="A10" s="342"/>
      <c r="B10" s="268" t="s">
        <v>543</v>
      </c>
      <c r="C10" s="342"/>
      <c r="D10" s="342"/>
      <c r="E10" s="342"/>
      <c r="F10" s="342"/>
      <c r="G10" s="342"/>
      <c r="H10" s="342"/>
      <c r="I10" s="859">
        <f>Ret</f>
        <v>2.0540000000000003</v>
      </c>
      <c r="J10" s="342"/>
      <c r="K10" s="498"/>
      <c r="L10" s="342"/>
      <c r="M10" s="342"/>
      <c r="N10" s="342"/>
      <c r="O10" s="342"/>
      <c r="P10" s="342"/>
      <c r="Q10" s="342"/>
    </row>
    <row r="11" spans="1:17" ht="15.75">
      <c r="A11" s="342"/>
      <c r="B11" s="268" t="s">
        <v>565</v>
      </c>
      <c r="C11" s="342"/>
      <c r="D11" s="342"/>
      <c r="E11" s="342"/>
      <c r="F11" s="342"/>
      <c r="G11" s="342"/>
      <c r="H11" s="342"/>
      <c r="I11" s="859">
        <f>lambda</f>
        <v>0.9230976751499496</v>
      </c>
      <c r="J11" s="342"/>
      <c r="K11" s="498"/>
      <c r="L11" s="342"/>
      <c r="M11" s="342"/>
      <c r="N11" s="342"/>
      <c r="O11" s="342"/>
      <c r="P11" s="342"/>
      <c r="Q11" s="342"/>
    </row>
    <row r="12" spans="1:17" ht="6" customHeight="1">
      <c r="A12" s="342"/>
      <c r="B12" s="268"/>
      <c r="C12" s="342"/>
      <c r="D12" s="342"/>
      <c r="E12" s="342"/>
      <c r="F12" s="342"/>
      <c r="G12" s="342"/>
      <c r="H12" s="342"/>
      <c r="I12" s="484"/>
      <c r="J12" s="342"/>
      <c r="K12" s="498"/>
      <c r="L12" s="342"/>
      <c r="M12" s="342"/>
      <c r="N12" s="342"/>
      <c r="O12" s="342"/>
      <c r="P12" s="342"/>
      <c r="Q12" s="342"/>
    </row>
    <row r="13" spans="1:31" ht="3" customHeight="1">
      <c r="A13" s="342"/>
      <c r="B13" s="342"/>
      <c r="C13" s="342"/>
      <c r="D13" s="342"/>
      <c r="E13" s="342"/>
      <c r="F13" s="342"/>
      <c r="G13" s="342"/>
      <c r="H13" s="342"/>
      <c r="I13" s="484"/>
      <c r="J13" s="342"/>
      <c r="K13" s="498"/>
      <c r="L13" s="342"/>
      <c r="M13" s="342"/>
      <c r="N13" s="342"/>
      <c r="O13" s="342"/>
      <c r="P13" s="342"/>
      <c r="Q13" s="342"/>
      <c r="AA13" s="713"/>
      <c r="AB13" s="713"/>
      <c r="AC13" s="713"/>
      <c r="AD13" s="713"/>
      <c r="AE13" s="713"/>
    </row>
    <row r="14" spans="1:33" ht="4.5" customHeight="1" hidden="1">
      <c r="A14" s="342"/>
      <c r="B14" s="342"/>
      <c r="C14" s="342"/>
      <c r="D14" s="342"/>
      <c r="E14" s="342"/>
      <c r="F14" s="342"/>
      <c r="G14" s="342"/>
      <c r="H14" s="342"/>
      <c r="I14" s="342"/>
      <c r="J14" s="342"/>
      <c r="K14" s="498"/>
      <c r="L14" s="342"/>
      <c r="M14" s="342"/>
      <c r="N14" s="342"/>
      <c r="O14" s="342"/>
      <c r="P14" s="342"/>
      <c r="Q14" s="342"/>
      <c r="AA14" s="713"/>
      <c r="AB14" s="768"/>
      <c r="AC14" s="769" t="s">
        <v>285</v>
      </c>
      <c r="AD14" s="770" t="s">
        <v>268</v>
      </c>
      <c r="AE14" s="770" t="s">
        <v>413</v>
      </c>
      <c r="AF14" s="771"/>
      <c r="AG14" s="771"/>
    </row>
    <row r="15" spans="1:33" ht="12.75" hidden="1">
      <c r="A15" s="342"/>
      <c r="B15" s="342"/>
      <c r="C15" s="342"/>
      <c r="D15" s="342"/>
      <c r="E15" s="342"/>
      <c r="F15" s="342"/>
      <c r="G15" s="342"/>
      <c r="H15" s="342"/>
      <c r="I15" s="342"/>
      <c r="J15" s="342"/>
      <c r="K15" s="498"/>
      <c r="L15" s="342"/>
      <c r="M15" s="342"/>
      <c r="N15" s="342"/>
      <c r="O15" s="342"/>
      <c r="P15" s="342"/>
      <c r="Q15" s="342"/>
      <c r="AA15" s="713"/>
      <c r="AB15" s="768"/>
      <c r="AC15" s="769" t="s">
        <v>266</v>
      </c>
      <c r="AD15" s="770">
        <f>IF(ISBLANK(H24),"NA",H24)</f>
        <v>50</v>
      </c>
      <c r="AE15" s="770">
        <f>IF(ISBLANK(H28),"NA",H28)</f>
        <v>200</v>
      </c>
      <c r="AF15" s="771"/>
      <c r="AG15" s="771"/>
    </row>
    <row r="16" spans="1:33" ht="12.75" hidden="1">
      <c r="A16" s="342"/>
      <c r="B16" s="342"/>
      <c r="C16" s="342"/>
      <c r="D16" s="342"/>
      <c r="E16" s="342"/>
      <c r="F16" s="342"/>
      <c r="G16" s="342"/>
      <c r="H16" s="342"/>
      <c r="I16" s="342"/>
      <c r="J16" s="342"/>
      <c r="K16" s="498"/>
      <c r="L16" s="342"/>
      <c r="M16" s="342"/>
      <c r="N16" s="342"/>
      <c r="O16" s="342"/>
      <c r="P16" s="342"/>
      <c r="Q16" s="342"/>
      <c r="AA16" s="713"/>
      <c r="AB16" s="768"/>
      <c r="AC16" s="769" t="s">
        <v>283</v>
      </c>
      <c r="AD16" s="770">
        <f>IF(ISBLANK(H25),"NA",H25)</f>
        <v>3</v>
      </c>
      <c r="AE16" s="770">
        <f>IF(ISBLANK(H29),"NA",H29)</f>
        <v>12</v>
      </c>
      <c r="AF16" s="771"/>
      <c r="AG16" s="771"/>
    </row>
    <row r="17" spans="1:33" ht="3" customHeight="1" hidden="1">
      <c r="A17" s="342"/>
      <c r="B17" s="342"/>
      <c r="C17" s="342"/>
      <c r="D17" s="342"/>
      <c r="E17" s="342"/>
      <c r="F17" s="342"/>
      <c r="G17" s="342"/>
      <c r="H17" s="342"/>
      <c r="I17" s="342"/>
      <c r="J17" s="342"/>
      <c r="K17" s="342"/>
      <c r="L17" s="342"/>
      <c r="M17" s="342"/>
      <c r="N17" s="342"/>
      <c r="O17" s="342"/>
      <c r="P17" s="342"/>
      <c r="Q17" s="342"/>
      <c r="AA17" s="713"/>
      <c r="AB17" s="713"/>
      <c r="AC17" s="713" t="s">
        <v>416</v>
      </c>
      <c r="AD17" s="713">
        <f>TANH(AD16/AD15)</f>
        <v>0.0599281035291435</v>
      </c>
      <c r="AE17" s="713">
        <f>TANH(AE16/AE15)</f>
        <v>0.0599281035291435</v>
      </c>
      <c r="AF17" s="766"/>
      <c r="AG17" s="772"/>
    </row>
    <row r="18" spans="1:33" ht="3" customHeight="1" hidden="1">
      <c r="A18" s="342"/>
      <c r="B18" s="342"/>
      <c r="C18" s="342"/>
      <c r="D18" s="342"/>
      <c r="E18" s="342"/>
      <c r="F18" s="342"/>
      <c r="G18" s="342"/>
      <c r="H18" s="342"/>
      <c r="I18" s="342"/>
      <c r="J18" s="342"/>
      <c r="K18" s="342"/>
      <c r="L18" s="342"/>
      <c r="M18" s="342"/>
      <c r="N18" s="342"/>
      <c r="O18" s="342"/>
      <c r="P18" s="342"/>
      <c r="Q18" s="342"/>
      <c r="AA18" s="713"/>
      <c r="AB18" s="713"/>
      <c r="AC18" s="713"/>
      <c r="AD18" s="713"/>
      <c r="AE18" s="713"/>
      <c r="AF18" s="766"/>
      <c r="AG18" s="772"/>
    </row>
    <row r="19" spans="1:33" ht="12.75" customHeight="1" thickBot="1">
      <c r="A19" s="342"/>
      <c r="B19" s="580" t="s">
        <v>641</v>
      </c>
      <c r="C19" s="342"/>
      <c r="D19" s="342"/>
      <c r="E19" s="342"/>
      <c r="F19" s="342"/>
      <c r="G19" s="342"/>
      <c r="H19" s="342"/>
      <c r="I19" s="342"/>
      <c r="J19" s="342"/>
      <c r="K19" s="342"/>
      <c r="L19" s="342"/>
      <c r="M19" s="342"/>
      <c r="N19" s="342"/>
      <c r="O19" s="342"/>
      <c r="P19" s="342"/>
      <c r="Q19" s="342"/>
      <c r="W19" s="713" t="s">
        <v>420</v>
      </c>
      <c r="X19" s="713"/>
      <c r="Y19" s="713" t="s">
        <v>278</v>
      </c>
      <c r="AA19" s="713"/>
      <c r="AB19" s="713"/>
      <c r="AC19" s="769" t="s">
        <v>376</v>
      </c>
      <c r="AD19" s="713">
        <f>AD16/SIN(AD17)</f>
        <v>50.08996221621543</v>
      </c>
      <c r="AE19" s="713">
        <f>AE16/SIN(AE17)</f>
        <v>200.35984886486173</v>
      </c>
      <c r="AF19" s="766"/>
      <c r="AG19" s="767"/>
    </row>
    <row r="20" spans="1:33" ht="13.5" customHeight="1" thickBot="1">
      <c r="A20" s="342"/>
      <c r="B20" s="1375" t="s">
        <v>417</v>
      </c>
      <c r="C20" s="1376"/>
      <c r="D20" s="1376"/>
      <c r="E20" s="1376"/>
      <c r="F20" s="1376"/>
      <c r="G20" s="1376"/>
      <c r="H20" s="1377"/>
      <c r="I20" s="1375" t="s">
        <v>415</v>
      </c>
      <c r="J20" s="1369" t="s">
        <v>560</v>
      </c>
      <c r="K20" s="1370"/>
      <c r="L20" s="1378" t="s">
        <v>551</v>
      </c>
      <c r="M20" s="1379"/>
      <c r="N20" s="1380"/>
      <c r="O20" s="1387" t="s">
        <v>542</v>
      </c>
      <c r="P20" s="1369" t="str">
        <f>"Target Source information to reach target level (@"&amp;O9&amp;"ug/L) and at Simulation End Time (@"&amp;t_sim&amp;"yr)"</f>
        <v>Target Source information to reach target level (@50ug/L) and at Simulation End Time (@37yr)</v>
      </c>
      <c r="Q20" s="1370"/>
      <c r="W20" s="713">
        <v>30</v>
      </c>
      <c r="X20" s="713"/>
      <c r="Y20" s="713" t="s">
        <v>712</v>
      </c>
      <c r="AA20" s="713"/>
      <c r="AB20" s="713"/>
      <c r="AC20" s="769" t="s">
        <v>414</v>
      </c>
      <c r="AD20" s="713">
        <f>IF(ISBLANK(H24),"NA",IF(AD16=0,AD15,(COS(AD17)^2*AD19+9.18*SIN(AD17)^2*AD19)/COS(AD17)))</f>
        <v>51.652441722239786</v>
      </c>
      <c r="AE20" s="713">
        <f>IF(ISBLANK(I24),"NA",IF(AE16=0,AE15,(COS(AE17)^2*AE19+9.18*SIN(AE17)^2*AE19)/COS(AE17)))</f>
        <v>206.60976688895914</v>
      </c>
      <c r="AF20" s="766"/>
      <c r="AG20" s="766"/>
    </row>
    <row r="21" spans="1:33" ht="10.5" customHeight="1">
      <c r="A21" s="342"/>
      <c r="B21" s="553"/>
      <c r="C21" s="481"/>
      <c r="D21" s="481"/>
      <c r="E21" s="481"/>
      <c r="F21" s="481"/>
      <c r="G21" s="481"/>
      <c r="H21" s="554"/>
      <c r="I21" s="1381"/>
      <c r="J21" s="1371"/>
      <c r="K21" s="1372"/>
      <c r="L21" s="1385" t="s">
        <v>559</v>
      </c>
      <c r="M21" s="1386"/>
      <c r="N21" s="573"/>
      <c r="O21" s="1388"/>
      <c r="P21" s="1371"/>
      <c r="Q21" s="1372"/>
      <c r="W21" s="713"/>
      <c r="X21" s="713"/>
      <c r="Y21" s="713"/>
      <c r="AA21" s="713"/>
      <c r="AB21" s="713"/>
      <c r="AC21" s="713"/>
      <c r="AD21" s="713"/>
      <c r="AE21" s="713"/>
      <c r="AF21" s="766"/>
      <c r="AG21" s="766"/>
    </row>
    <row r="22" spans="1:33" ht="12.75" customHeight="1" thickBot="1">
      <c r="A22" s="342"/>
      <c r="B22" s="482"/>
      <c r="C22" s="555"/>
      <c r="D22" s="555"/>
      <c r="E22" s="555"/>
      <c r="F22" s="555"/>
      <c r="G22" s="555"/>
      <c r="H22" s="483"/>
      <c r="I22" s="1382"/>
      <c r="J22" s="1373"/>
      <c r="K22" s="1374"/>
      <c r="L22" s="860">
        <f>BG40</f>
        <v>18.500499999999988</v>
      </c>
      <c r="M22" s="1383">
        <f>t_sim</f>
        <v>37</v>
      </c>
      <c r="N22" s="1384"/>
      <c r="O22" s="1389"/>
      <c r="P22" s="1373"/>
      <c r="Q22" s="1374"/>
      <c r="W22" s="713"/>
      <c r="X22" s="713"/>
      <c r="Y22" s="713"/>
      <c r="AA22" s="713"/>
      <c r="AB22" s="713"/>
      <c r="AC22" s="713"/>
      <c r="AD22" s="713"/>
      <c r="AE22" s="713"/>
      <c r="AF22" s="766"/>
      <c r="AG22" s="766"/>
    </row>
    <row r="23" spans="1:33" ht="13.5" customHeight="1" thickTop="1">
      <c r="A23" s="342"/>
      <c r="B23" s="543" t="s">
        <v>540</v>
      </c>
      <c r="C23" s="544"/>
      <c r="D23" s="484"/>
      <c r="E23" s="484"/>
      <c r="F23" s="484"/>
      <c r="G23" s="484"/>
      <c r="H23" s="549"/>
      <c r="I23" s="557"/>
      <c r="J23" s="559"/>
      <c r="K23" s="560"/>
      <c r="L23" s="568"/>
      <c r="M23" s="550"/>
      <c r="N23" s="579"/>
      <c r="O23" s="549"/>
      <c r="P23" s="574" t="s">
        <v>276</v>
      </c>
      <c r="Q23" s="569" t="s">
        <v>561</v>
      </c>
      <c r="W23" s="713" t="s">
        <v>421</v>
      </c>
      <c r="X23" s="713" t="s">
        <v>419</v>
      </c>
      <c r="Y23" s="713" t="s">
        <v>277</v>
      </c>
      <c r="AA23" s="713"/>
      <c r="AB23" s="713"/>
      <c r="AC23" s="769" t="s">
        <v>193</v>
      </c>
      <c r="AD23" s="713">
        <f>AD19*SIN(AD17)</f>
        <v>3</v>
      </c>
      <c r="AE23" s="713">
        <f>AE19*SIN(AE17)</f>
        <v>12</v>
      </c>
      <c r="AF23" s="766"/>
      <c r="AG23" s="766"/>
    </row>
    <row r="24" spans="1:31" ht="12.75">
      <c r="A24" s="342"/>
      <c r="B24" s="545"/>
      <c r="C24" s="544"/>
      <c r="D24" s="484" t="s">
        <v>272</v>
      </c>
      <c r="E24" s="484"/>
      <c r="F24" s="484"/>
      <c r="G24" s="484"/>
      <c r="H24" s="551">
        <v>50</v>
      </c>
      <c r="I24" s="558" t="s">
        <v>202</v>
      </c>
      <c r="J24" s="561">
        <f>(Ret*AD20)/(Vs*(1+(4*alpha.x*0*Ret/Vs))^0.5)</f>
        <v>0.9321954229126902</v>
      </c>
      <c r="K24" s="562"/>
      <c r="L24" s="861">
        <f>BG57</f>
        <v>2494.1641843957023</v>
      </c>
      <c r="M24" s="862">
        <f>AD57</f>
        <v>647.244278928776</v>
      </c>
      <c r="N24" s="562"/>
      <c r="O24" s="1284"/>
      <c r="P24" s="575"/>
      <c r="Q24" s="570"/>
      <c r="W24" s="713">
        <v>72.11654732025863</v>
      </c>
      <c r="X24" s="1017">
        <v>56.18743106330808</v>
      </c>
      <c r="Y24" s="1018">
        <f>M24-$O$9</f>
        <v>597.244278928776</v>
      </c>
      <c r="AA24" s="713"/>
      <c r="AB24" s="713"/>
      <c r="AC24" s="769" t="s">
        <v>205</v>
      </c>
      <c r="AD24" s="713">
        <f>AD19*COS(AD17)</f>
        <v>50.000043148200284</v>
      </c>
      <c r="AE24" s="713">
        <f>AE19*COS(AE17)</f>
        <v>200.00017259280114</v>
      </c>
    </row>
    <row r="25" spans="1:25" ht="12.75">
      <c r="A25" s="342"/>
      <c r="B25" s="545"/>
      <c r="C25" s="544"/>
      <c r="D25" s="484" t="s">
        <v>273</v>
      </c>
      <c r="E25" s="484"/>
      <c r="F25" s="484"/>
      <c r="G25" s="484"/>
      <c r="H25" s="551">
        <v>3</v>
      </c>
      <c r="I25" s="558" t="s">
        <v>115</v>
      </c>
      <c r="J25" s="561">
        <f>(Ret*AD20)/(Vs*(1+(4*alpha.x*lambda*Ret/Vs))^0.5)</f>
        <v>0.6768943183362579</v>
      </c>
      <c r="K25" s="562"/>
      <c r="L25" s="861">
        <f>BG66</f>
        <v>1237.5543032674314</v>
      </c>
      <c r="M25" s="862">
        <f>AD66</f>
        <v>321.1496444102645</v>
      </c>
      <c r="N25" s="562"/>
      <c r="O25" s="1285"/>
      <c r="P25" s="576"/>
      <c r="Q25" s="571"/>
      <c r="W25" s="713">
        <v>62.460233129142104</v>
      </c>
      <c r="X25" s="1017">
        <v>124.37491191702217</v>
      </c>
      <c r="Y25" s="1018">
        <f>M25-$O$9</f>
        <v>271.1496444102645</v>
      </c>
    </row>
    <row r="26" spans="1:25" ht="13.5" thickBot="1">
      <c r="A26" s="342"/>
      <c r="B26" s="546"/>
      <c r="C26" s="547"/>
      <c r="D26" s="519" t="s">
        <v>709</v>
      </c>
      <c r="E26" s="519"/>
      <c r="F26" s="519"/>
      <c r="G26" s="519"/>
      <c r="H26" s="552">
        <f>O9</f>
        <v>50</v>
      </c>
      <c r="I26" s="487" t="s">
        <v>116</v>
      </c>
      <c r="J26" s="563" t="s">
        <v>374</v>
      </c>
      <c r="K26" s="564"/>
      <c r="L26" s="863">
        <f>BG73</f>
        <v>0</v>
      </c>
      <c r="M26" s="864">
        <f>AD73</f>
        <v>0</v>
      </c>
      <c r="N26" s="564"/>
      <c r="O26" s="1286"/>
      <c r="P26" s="577"/>
      <c r="Q26" s="572"/>
      <c r="W26" s="713">
        <v>0.85329017523094</v>
      </c>
      <c r="X26" s="1017">
        <v>860.1910577624675</v>
      </c>
      <c r="Y26" s="1018">
        <f>M26-$O$9</f>
        <v>-50</v>
      </c>
    </row>
    <row r="27" spans="1:25" ht="12.75">
      <c r="A27" s="342"/>
      <c r="B27" s="543" t="s">
        <v>541</v>
      </c>
      <c r="C27" s="544"/>
      <c r="D27" s="484"/>
      <c r="E27" s="484"/>
      <c r="F27" s="484"/>
      <c r="G27" s="484"/>
      <c r="H27" s="549"/>
      <c r="I27" s="485"/>
      <c r="J27" s="565"/>
      <c r="K27" s="566"/>
      <c r="L27" s="865"/>
      <c r="M27" s="866"/>
      <c r="N27" s="566"/>
      <c r="O27" s="1287"/>
      <c r="P27" s="578"/>
      <c r="Q27" s="570"/>
      <c r="W27" s="713"/>
      <c r="X27" s="1017"/>
      <c r="Y27" s="1018"/>
    </row>
    <row r="28" spans="1:25" ht="12.75">
      <c r="A28" s="342"/>
      <c r="B28" s="545"/>
      <c r="C28" s="544"/>
      <c r="D28" s="484" t="s">
        <v>272</v>
      </c>
      <c r="E28" s="484"/>
      <c r="F28" s="484"/>
      <c r="G28" s="484"/>
      <c r="H28" s="551">
        <v>200</v>
      </c>
      <c r="I28" s="558" t="s">
        <v>202</v>
      </c>
      <c r="J28" s="561">
        <f>(Ret*AE20)/(Vs*(1+(4*alpha.x*0*Ret/Vs))^0.5)</f>
        <v>3.728781691650761</v>
      </c>
      <c r="K28" s="562"/>
      <c r="L28" s="861">
        <f>DH57</f>
        <v>2950.6844440712916</v>
      </c>
      <c r="M28" s="862">
        <f>AE57</f>
        <v>765.7131312196846</v>
      </c>
      <c r="N28" s="562"/>
      <c r="O28" s="1285"/>
      <c r="P28" s="576"/>
      <c r="Q28" s="571"/>
      <c r="W28" s="713">
        <v>74.42160236389536</v>
      </c>
      <c r="X28" s="1017">
        <v>60.176400525474854</v>
      </c>
      <c r="Y28" s="1018">
        <f>M28-$O$9</f>
        <v>715.7131312196846</v>
      </c>
    </row>
    <row r="29" spans="1:25" ht="12.75">
      <c r="A29" s="342"/>
      <c r="B29" s="545"/>
      <c r="C29" s="544"/>
      <c r="D29" s="484" t="s">
        <v>273</v>
      </c>
      <c r="E29" s="484"/>
      <c r="F29" s="484"/>
      <c r="G29" s="484"/>
      <c r="H29" s="551">
        <v>12</v>
      </c>
      <c r="I29" s="558" t="s">
        <v>115</v>
      </c>
      <c r="J29" s="561">
        <f>(Ret*AE20)/(Vs*(1+(4*alpha.x*lambda*Ret/Vs))^0.5)</f>
        <v>2.7075772733450316</v>
      </c>
      <c r="K29" s="562"/>
      <c r="L29" s="861">
        <f>DH66</f>
        <v>178.84624019667623</v>
      </c>
      <c r="M29" s="862">
        <f>AE66</f>
        <v>46.41122114127705</v>
      </c>
      <c r="N29" s="562"/>
      <c r="O29" s="1285"/>
      <c r="P29" s="576"/>
      <c r="Q29" s="571"/>
      <c r="W29" s="713">
        <v>35.796313260754346</v>
      </c>
      <c r="X29" s="1017">
        <v>76.85879190444491</v>
      </c>
      <c r="Y29" s="1018">
        <f>M29-$O$9</f>
        <v>-3.5887788587229466</v>
      </c>
    </row>
    <row r="30" spans="1:25" ht="13.5" thickBot="1">
      <c r="A30" s="342"/>
      <c r="B30" s="546"/>
      <c r="C30" s="547"/>
      <c r="D30" s="519" t="str">
        <f>D26</f>
        <v>Target GW Level, ug/L</v>
      </c>
      <c r="E30" s="519"/>
      <c r="F30" s="519"/>
      <c r="G30" s="519"/>
      <c r="H30" s="552">
        <f>H26</f>
        <v>50</v>
      </c>
      <c r="I30" s="487" t="s">
        <v>116</v>
      </c>
      <c r="J30" s="567" t="s">
        <v>374</v>
      </c>
      <c r="K30" s="564"/>
      <c r="L30" s="863">
        <f>DH73</f>
        <v>0</v>
      </c>
      <c r="M30" s="864">
        <f>AE73</f>
        <v>0</v>
      </c>
      <c r="N30" s="564"/>
      <c r="O30" s="1288"/>
      <c r="P30" s="577"/>
      <c r="Q30" s="572"/>
      <c r="W30" s="713"/>
      <c r="X30" s="1017">
        <v>898.6987067137522</v>
      </c>
      <c r="Y30" s="1018">
        <f>M30-$O$9</f>
        <v>-50</v>
      </c>
    </row>
    <row r="31" spans="1:17" ht="6.75" customHeight="1">
      <c r="A31" s="342"/>
      <c r="B31" s="342"/>
      <c r="C31" s="342"/>
      <c r="D31" s="342"/>
      <c r="E31" s="342"/>
      <c r="F31" s="342"/>
      <c r="G31" s="342"/>
      <c r="H31" s="342">
        <v>13</v>
      </c>
      <c r="I31" s="342"/>
      <c r="J31" s="342"/>
      <c r="K31" s="342"/>
      <c r="L31" s="342"/>
      <c r="M31" s="342"/>
      <c r="N31" s="342"/>
      <c r="O31" s="342"/>
      <c r="P31" s="342"/>
      <c r="Q31" s="342"/>
    </row>
    <row r="32" spans="1:23" ht="18" customHeight="1">
      <c r="A32" s="342"/>
      <c r="B32" s="712" t="str">
        <f>"Location of Receptor #1 is "&amp;H24&amp;"ft @x-direction &amp; "&amp;H25&amp;"ft @y-direction; Location of Receptor #2 is "&amp;H28&amp;"ft @x-direction &amp; "&amp;H29&amp;"ft @y-direction  "</f>
        <v>Location of Receptor #1 is 50ft @x-direction &amp; 3ft @y-direction; Location of Receptor #2 is 200ft @x-direction &amp; 12ft @y-direction  </v>
      </c>
      <c r="C32" s="342"/>
      <c r="D32" s="342"/>
      <c r="E32" s="342"/>
      <c r="F32" s="342"/>
      <c r="G32" s="342"/>
      <c r="H32" s="342"/>
      <c r="I32" s="342"/>
      <c r="J32" s="342"/>
      <c r="K32" s="342"/>
      <c r="L32" s="342"/>
      <c r="M32" s="342"/>
      <c r="N32" s="342"/>
      <c r="O32" s="342"/>
      <c r="P32" s="342"/>
      <c r="Q32" s="342"/>
      <c r="V32" s="524" t="s">
        <v>428</v>
      </c>
      <c r="W32" s="524">
        <f>MAX(W24:W30)</f>
        <v>74.42160236389536</v>
      </c>
    </row>
    <row r="33" spans="1:17" ht="12.75">
      <c r="A33" s="342"/>
      <c r="B33" s="342"/>
      <c r="C33" s="342"/>
      <c r="D33" s="342"/>
      <c r="E33" s="342"/>
      <c r="F33" s="342"/>
      <c r="G33" s="342"/>
      <c r="H33" s="342"/>
      <c r="I33" s="342"/>
      <c r="J33" s="342"/>
      <c r="K33" s="342"/>
      <c r="L33" s="342"/>
      <c r="M33" s="342"/>
      <c r="N33" s="342"/>
      <c r="O33" s="342"/>
      <c r="P33" s="342"/>
      <c r="Q33" s="342"/>
    </row>
    <row r="34" spans="1:35" ht="12.75">
      <c r="A34" s="342"/>
      <c r="B34" s="342"/>
      <c r="C34" s="342"/>
      <c r="D34" s="342"/>
      <c r="E34" s="342"/>
      <c r="F34" s="342"/>
      <c r="G34" s="342"/>
      <c r="H34" s="342"/>
      <c r="I34" s="342"/>
      <c r="J34" s="342"/>
      <c r="K34" s="342"/>
      <c r="L34" s="342"/>
      <c r="M34" s="342"/>
      <c r="N34" s="342"/>
      <c r="O34" s="342"/>
      <c r="P34" s="342"/>
      <c r="Q34" s="342"/>
      <c r="AH34" s="524" t="s">
        <v>210</v>
      </c>
      <c r="AI34" s="524">
        <f>(t_sim-t_start)/50</f>
        <v>0.7399800000000001</v>
      </c>
    </row>
    <row r="35" spans="1:140" ht="12.75">
      <c r="A35" s="342"/>
      <c r="B35" s="342"/>
      <c r="C35" s="342"/>
      <c r="D35" s="342"/>
      <c r="E35" s="342"/>
      <c r="F35" s="342"/>
      <c r="G35" s="342"/>
      <c r="H35" s="342"/>
      <c r="I35" s="342"/>
      <c r="J35" s="342"/>
      <c r="K35" s="342"/>
      <c r="L35" s="342"/>
      <c r="M35" s="342"/>
      <c r="N35" s="342"/>
      <c r="O35" s="342"/>
      <c r="P35" s="342"/>
      <c r="Q35" s="342"/>
      <c r="V35" s="713"/>
      <c r="W35" s="713"/>
      <c r="X35" s="713" t="s">
        <v>286</v>
      </c>
      <c r="Y35" s="713"/>
      <c r="EJ35" s="524" t="s">
        <v>279</v>
      </c>
    </row>
    <row r="36" spans="1:140" ht="12.75">
      <c r="A36" s="342"/>
      <c r="B36" s="342"/>
      <c r="C36" s="342"/>
      <c r="D36" s="342"/>
      <c r="E36" s="342"/>
      <c r="F36" s="342"/>
      <c r="G36" s="342"/>
      <c r="H36" s="342"/>
      <c r="I36" s="342"/>
      <c r="J36" s="342"/>
      <c r="K36" s="342"/>
      <c r="L36" s="342"/>
      <c r="M36" s="342"/>
      <c r="N36" s="342"/>
      <c r="O36" s="342"/>
      <c r="P36" s="342"/>
      <c r="Q36" s="342"/>
      <c r="V36" s="713"/>
      <c r="W36" s="713"/>
      <c r="X36" s="713"/>
      <c r="Y36" s="713"/>
      <c r="AA36" s="713"/>
      <c r="AB36" s="713" t="s">
        <v>122</v>
      </c>
      <c r="AC36" s="713"/>
      <c r="AD36" s="1019"/>
      <c r="AE36" s="713"/>
      <c r="AH36" s="1020" t="s">
        <v>631</v>
      </c>
      <c r="CI36" s="1020" t="s">
        <v>632</v>
      </c>
      <c r="EJ36" s="524" t="s">
        <v>282</v>
      </c>
    </row>
    <row r="37" spans="1:140" ht="12.75">
      <c r="A37" s="342"/>
      <c r="B37" s="342"/>
      <c r="C37" s="342"/>
      <c r="D37" s="342"/>
      <c r="E37" s="342"/>
      <c r="F37" s="342"/>
      <c r="G37" s="342"/>
      <c r="H37" s="342"/>
      <c r="I37" s="342"/>
      <c r="J37" s="342"/>
      <c r="K37" s="342"/>
      <c r="L37" s="342"/>
      <c r="M37" s="342"/>
      <c r="N37" s="342"/>
      <c r="O37" s="342"/>
      <c r="P37" s="342"/>
      <c r="Q37" s="342"/>
      <c r="V37" s="713"/>
      <c r="W37" s="713"/>
      <c r="X37" s="713" t="s">
        <v>287</v>
      </c>
      <c r="Y37" s="713"/>
      <c r="AA37" s="713"/>
      <c r="AB37" s="1021" t="s">
        <v>207</v>
      </c>
      <c r="AC37" s="713"/>
      <c r="AD37" s="1019"/>
      <c r="AE37" s="1022">
        <v>1</v>
      </c>
      <c r="AH37" s="524">
        <v>1</v>
      </c>
      <c r="AI37" s="524">
        <f>$AH$37</f>
        <v>1</v>
      </c>
      <c r="AJ37" s="524">
        <f aca="true" t="shared" si="0" ref="AJ37:CF37">$AH$37</f>
        <v>1</v>
      </c>
      <c r="AK37" s="524">
        <f t="shared" si="0"/>
        <v>1</v>
      </c>
      <c r="AL37" s="524">
        <f t="shared" si="0"/>
        <v>1</v>
      </c>
      <c r="AM37" s="524">
        <f t="shared" si="0"/>
        <v>1</v>
      </c>
      <c r="AN37" s="524">
        <f t="shared" si="0"/>
        <v>1</v>
      </c>
      <c r="AO37" s="524">
        <f t="shared" si="0"/>
        <v>1</v>
      </c>
      <c r="AP37" s="524">
        <f t="shared" si="0"/>
        <v>1</v>
      </c>
      <c r="AQ37" s="524">
        <f t="shared" si="0"/>
        <v>1</v>
      </c>
      <c r="AR37" s="524">
        <f t="shared" si="0"/>
        <v>1</v>
      </c>
      <c r="AS37" s="524">
        <f t="shared" si="0"/>
        <v>1</v>
      </c>
      <c r="AT37" s="524">
        <f t="shared" si="0"/>
        <v>1</v>
      </c>
      <c r="AU37" s="524">
        <f t="shared" si="0"/>
        <v>1</v>
      </c>
      <c r="AV37" s="524">
        <f t="shared" si="0"/>
        <v>1</v>
      </c>
      <c r="AW37" s="524">
        <f t="shared" si="0"/>
        <v>1</v>
      </c>
      <c r="AX37" s="524">
        <f t="shared" si="0"/>
        <v>1</v>
      </c>
      <c r="AY37" s="524">
        <f t="shared" si="0"/>
        <v>1</v>
      </c>
      <c r="AZ37" s="524">
        <f t="shared" si="0"/>
        <v>1</v>
      </c>
      <c r="BA37" s="524">
        <f t="shared" si="0"/>
        <v>1</v>
      </c>
      <c r="BB37" s="524">
        <f t="shared" si="0"/>
        <v>1</v>
      </c>
      <c r="BC37" s="524">
        <f t="shared" si="0"/>
        <v>1</v>
      </c>
      <c r="BD37" s="524">
        <f t="shared" si="0"/>
        <v>1</v>
      </c>
      <c r="BE37" s="524">
        <f t="shared" si="0"/>
        <v>1</v>
      </c>
      <c r="BF37" s="524">
        <f t="shared" si="0"/>
        <v>1</v>
      </c>
      <c r="BG37" s="524">
        <f t="shared" si="0"/>
        <v>1</v>
      </c>
      <c r="BH37" s="524">
        <f t="shared" si="0"/>
        <v>1</v>
      </c>
      <c r="BI37" s="524">
        <f t="shared" si="0"/>
        <v>1</v>
      </c>
      <c r="BJ37" s="524">
        <f t="shared" si="0"/>
        <v>1</v>
      </c>
      <c r="BK37" s="524">
        <f t="shared" si="0"/>
        <v>1</v>
      </c>
      <c r="BL37" s="524">
        <f t="shared" si="0"/>
        <v>1</v>
      </c>
      <c r="BM37" s="524">
        <f t="shared" si="0"/>
        <v>1</v>
      </c>
      <c r="BN37" s="524">
        <f t="shared" si="0"/>
        <v>1</v>
      </c>
      <c r="BO37" s="524">
        <f t="shared" si="0"/>
        <v>1</v>
      </c>
      <c r="BP37" s="524">
        <f t="shared" si="0"/>
        <v>1</v>
      </c>
      <c r="BQ37" s="524">
        <f t="shared" si="0"/>
        <v>1</v>
      </c>
      <c r="BR37" s="524">
        <f t="shared" si="0"/>
        <v>1</v>
      </c>
      <c r="BS37" s="524">
        <f t="shared" si="0"/>
        <v>1</v>
      </c>
      <c r="BT37" s="524">
        <f t="shared" si="0"/>
        <v>1</v>
      </c>
      <c r="BU37" s="524">
        <f>$AH$37</f>
        <v>1</v>
      </c>
      <c r="BV37" s="524">
        <f t="shared" si="0"/>
        <v>1</v>
      </c>
      <c r="BW37" s="524">
        <f t="shared" si="0"/>
        <v>1</v>
      </c>
      <c r="BX37" s="524">
        <f t="shared" si="0"/>
        <v>1</v>
      </c>
      <c r="BY37" s="524">
        <f t="shared" si="0"/>
        <v>1</v>
      </c>
      <c r="BZ37" s="524">
        <f t="shared" si="0"/>
        <v>1</v>
      </c>
      <c r="CA37" s="524">
        <f t="shared" si="0"/>
        <v>1</v>
      </c>
      <c r="CB37" s="524">
        <f t="shared" si="0"/>
        <v>1</v>
      </c>
      <c r="CC37" s="524">
        <f t="shared" si="0"/>
        <v>1</v>
      </c>
      <c r="CD37" s="524">
        <f t="shared" si="0"/>
        <v>1</v>
      </c>
      <c r="CE37" s="524">
        <f t="shared" si="0"/>
        <v>1</v>
      </c>
      <c r="CF37" s="524">
        <f t="shared" si="0"/>
        <v>1</v>
      </c>
      <c r="CI37" s="524">
        <v>1</v>
      </c>
      <c r="CJ37" s="524">
        <f>$CI$37</f>
        <v>1</v>
      </c>
      <c r="CK37" s="524">
        <f aca="true" t="shared" si="1" ref="CK37:EG37">$CI$37</f>
        <v>1</v>
      </c>
      <c r="CL37" s="524">
        <f t="shared" si="1"/>
        <v>1</v>
      </c>
      <c r="CM37" s="524">
        <f t="shared" si="1"/>
        <v>1</v>
      </c>
      <c r="CN37" s="524">
        <f t="shared" si="1"/>
        <v>1</v>
      </c>
      <c r="CO37" s="524">
        <f t="shared" si="1"/>
        <v>1</v>
      </c>
      <c r="CP37" s="524">
        <f t="shared" si="1"/>
        <v>1</v>
      </c>
      <c r="CQ37" s="524">
        <f t="shared" si="1"/>
        <v>1</v>
      </c>
      <c r="CR37" s="524">
        <f t="shared" si="1"/>
        <v>1</v>
      </c>
      <c r="CS37" s="524">
        <f t="shared" si="1"/>
        <v>1</v>
      </c>
      <c r="CT37" s="524">
        <f t="shared" si="1"/>
        <v>1</v>
      </c>
      <c r="CU37" s="524">
        <f t="shared" si="1"/>
        <v>1</v>
      </c>
      <c r="CV37" s="524">
        <f t="shared" si="1"/>
        <v>1</v>
      </c>
      <c r="CW37" s="524">
        <f t="shared" si="1"/>
        <v>1</v>
      </c>
      <c r="CX37" s="524">
        <f t="shared" si="1"/>
        <v>1</v>
      </c>
      <c r="CY37" s="524">
        <f t="shared" si="1"/>
        <v>1</v>
      </c>
      <c r="CZ37" s="524">
        <f t="shared" si="1"/>
        <v>1</v>
      </c>
      <c r="DA37" s="524">
        <f t="shared" si="1"/>
        <v>1</v>
      </c>
      <c r="DB37" s="524">
        <f t="shared" si="1"/>
        <v>1</v>
      </c>
      <c r="DC37" s="524">
        <f t="shared" si="1"/>
        <v>1</v>
      </c>
      <c r="DD37" s="524">
        <f t="shared" si="1"/>
        <v>1</v>
      </c>
      <c r="DE37" s="524">
        <f t="shared" si="1"/>
        <v>1</v>
      </c>
      <c r="DF37" s="524">
        <f t="shared" si="1"/>
        <v>1</v>
      </c>
      <c r="DG37" s="524">
        <f t="shared" si="1"/>
        <v>1</v>
      </c>
      <c r="DH37" s="524">
        <f t="shared" si="1"/>
        <v>1</v>
      </c>
      <c r="DI37" s="524">
        <f t="shared" si="1"/>
        <v>1</v>
      </c>
      <c r="DJ37" s="524">
        <f t="shared" si="1"/>
        <v>1</v>
      </c>
      <c r="DK37" s="524">
        <f t="shared" si="1"/>
        <v>1</v>
      </c>
      <c r="DL37" s="524">
        <f t="shared" si="1"/>
        <v>1</v>
      </c>
      <c r="DM37" s="524">
        <f t="shared" si="1"/>
        <v>1</v>
      </c>
      <c r="DN37" s="524">
        <f t="shared" si="1"/>
        <v>1</v>
      </c>
      <c r="DO37" s="524">
        <f t="shared" si="1"/>
        <v>1</v>
      </c>
      <c r="DP37" s="524">
        <f t="shared" si="1"/>
        <v>1</v>
      </c>
      <c r="DQ37" s="524">
        <f t="shared" si="1"/>
        <v>1</v>
      </c>
      <c r="DR37" s="524">
        <f t="shared" si="1"/>
        <v>1</v>
      </c>
      <c r="DS37" s="524">
        <f t="shared" si="1"/>
        <v>1</v>
      </c>
      <c r="DT37" s="524">
        <f t="shared" si="1"/>
        <v>1</v>
      </c>
      <c r="DU37" s="524">
        <f t="shared" si="1"/>
        <v>1</v>
      </c>
      <c r="DV37" s="524">
        <f t="shared" si="1"/>
        <v>1</v>
      </c>
      <c r="DW37" s="524">
        <f t="shared" si="1"/>
        <v>1</v>
      </c>
      <c r="DX37" s="524">
        <f t="shared" si="1"/>
        <v>1</v>
      </c>
      <c r="DY37" s="524">
        <f t="shared" si="1"/>
        <v>1</v>
      </c>
      <c r="DZ37" s="524">
        <f t="shared" si="1"/>
        <v>1</v>
      </c>
      <c r="EA37" s="524">
        <f t="shared" si="1"/>
        <v>1</v>
      </c>
      <c r="EB37" s="524">
        <f t="shared" si="1"/>
        <v>1</v>
      </c>
      <c r="EC37" s="524">
        <f t="shared" si="1"/>
        <v>1</v>
      </c>
      <c r="ED37" s="524">
        <f t="shared" si="1"/>
        <v>1</v>
      </c>
      <c r="EE37" s="524">
        <f t="shared" si="1"/>
        <v>1</v>
      </c>
      <c r="EF37" s="524">
        <f t="shared" si="1"/>
        <v>1</v>
      </c>
      <c r="EG37" s="524">
        <f t="shared" si="1"/>
        <v>1</v>
      </c>
      <c r="EJ37" s="524">
        <v>1</v>
      </c>
    </row>
    <row r="38" spans="1:140" ht="12.75">
      <c r="A38" s="342"/>
      <c r="B38" s="342"/>
      <c r="C38" s="342"/>
      <c r="D38" s="342"/>
      <c r="E38" s="342"/>
      <c r="F38" s="342"/>
      <c r="G38" s="342"/>
      <c r="H38" s="342"/>
      <c r="I38" s="342"/>
      <c r="J38" s="342"/>
      <c r="K38" s="342"/>
      <c r="L38" s="342"/>
      <c r="M38" s="342"/>
      <c r="N38" s="342"/>
      <c r="O38" s="342"/>
      <c r="P38" s="342"/>
      <c r="Q38" s="342"/>
      <c r="V38" s="713">
        <v>8.553125633</v>
      </c>
      <c r="W38" s="713"/>
      <c r="X38" s="713"/>
      <c r="Y38" s="713"/>
      <c r="AA38" s="713"/>
      <c r="AB38" s="1021" t="s">
        <v>208</v>
      </c>
      <c r="AC38" s="713"/>
      <c r="AD38" s="1019"/>
      <c r="AE38" s="1023">
        <f>(2*(alpha.x*Vc*t_sim)^0.5)</f>
        <v>332.1670387098091</v>
      </c>
      <c r="AF38" s="1024"/>
      <c r="AG38" s="1024"/>
      <c r="AH38" s="1024">
        <f aca="true" t="shared" si="2" ref="AH38:BM38">(2*(alpha.x*Vc*AH40)^0.5)</f>
        <v>1.7268542060030352</v>
      </c>
      <c r="AI38" s="1024">
        <f t="shared" si="2"/>
        <v>47.006608227404485</v>
      </c>
      <c r="AJ38" s="1024">
        <f t="shared" si="2"/>
        <v>66.4549502192319</v>
      </c>
      <c r="AK38" s="1024">
        <f t="shared" si="2"/>
        <v>81.38119930448612</v>
      </c>
      <c r="AL38" s="1024">
        <f t="shared" si="2"/>
        <v>93.96562558634083</v>
      </c>
      <c r="AM38" s="1024">
        <f t="shared" si="2"/>
        <v>105.05321500757744</v>
      </c>
      <c r="AN38" s="1024">
        <f t="shared" si="2"/>
        <v>115.0774399047189</v>
      </c>
      <c r="AO38" s="1024">
        <f t="shared" si="2"/>
        <v>124.29584211316198</v>
      </c>
      <c r="AP38" s="1024">
        <f t="shared" si="2"/>
        <v>132.8762415114756</v>
      </c>
      <c r="AQ38" s="1024">
        <f t="shared" si="2"/>
        <v>140.9352147258161</v>
      </c>
      <c r="AR38" s="1024">
        <f t="shared" si="2"/>
        <v>148.55764517993612</v>
      </c>
      <c r="AS38" s="1024">
        <f t="shared" si="2"/>
        <v>155.8076157734393</v>
      </c>
      <c r="AT38" s="1024">
        <f t="shared" si="2"/>
        <v>162.7349142765608</v>
      </c>
      <c r="AU38" s="1024">
        <f t="shared" si="2"/>
        <v>169.37913542167905</v>
      </c>
      <c r="AV38" s="1024">
        <f t="shared" si="2"/>
        <v>175.7723832340888</v>
      </c>
      <c r="AW38" s="1024">
        <f t="shared" si="2"/>
        <v>181.9411165717834</v>
      </c>
      <c r="AX38" s="1024">
        <f t="shared" si="2"/>
        <v>187.90744820518208</v>
      </c>
      <c r="AY38" s="1024">
        <f t="shared" si="2"/>
        <v>193.6900830775264</v>
      </c>
      <c r="AZ38" s="1024">
        <f t="shared" si="2"/>
        <v>199.3050111617241</v>
      </c>
      <c r="BA38" s="1024">
        <f t="shared" si="2"/>
        <v>204.76602908141496</v>
      </c>
      <c r="BB38" s="1024">
        <f t="shared" si="2"/>
        <v>210.08513954434466</v>
      </c>
      <c r="BC38" s="1024">
        <f t="shared" si="2"/>
        <v>215.27286184970615</v>
      </c>
      <c r="BD38" s="1024">
        <f t="shared" si="2"/>
        <v>220.33847653226292</v>
      </c>
      <c r="BE38" s="1024">
        <f t="shared" si="2"/>
        <v>225.29022045387248</v>
      </c>
      <c r="BF38" s="1024">
        <f t="shared" si="2"/>
        <v>230.13544408402274</v>
      </c>
      <c r="BG38" s="1024">
        <f t="shared" si="2"/>
        <v>234.88073955807073</v>
      </c>
      <c r="BH38" s="1024">
        <f t="shared" si="2"/>
        <v>239.53204588727195</v>
      </c>
      <c r="BI38" s="1024">
        <f t="shared" si="2"/>
        <v>244.0947361139483</v>
      </c>
      <c r="BJ38" s="1024">
        <f t="shared" si="2"/>
        <v>248.57369006017905</v>
      </c>
      <c r="BK38" s="1024">
        <f t="shared" si="2"/>
        <v>252.97335547786423</v>
      </c>
      <c r="BL38" s="1024">
        <f t="shared" si="2"/>
        <v>257.2977997832973</v>
      </c>
      <c r="BM38" s="1024">
        <f t="shared" si="2"/>
        <v>261.55075408975915</v>
      </c>
      <c r="BN38" s="1024">
        <f aca="true" t="shared" si="3" ref="BN38:CE38">(2*(alpha.x*Vc*BN40)^0.5)</f>
        <v>265.735650894865</v>
      </c>
      <c r="BO38" s="1024">
        <f t="shared" si="3"/>
        <v>269.8556565056835</v>
      </c>
      <c r="BP38" s="1024">
        <f t="shared" si="3"/>
        <v>273.91369907273594</v>
      </c>
      <c r="BQ38" s="1024">
        <f t="shared" si="3"/>
        <v>277.91249293852417</v>
      </c>
      <c r="BR38" s="1024">
        <f t="shared" si="3"/>
        <v>281.85455987601324</v>
      </c>
      <c r="BS38" s="1024">
        <f t="shared" si="3"/>
        <v>285.7422476892366</v>
      </c>
      <c r="BT38" s="1024">
        <f t="shared" si="3"/>
        <v>289.57774656574173</v>
      </c>
      <c r="BU38" s="1024">
        <f t="shared" si="3"/>
        <v>293.3631035043242</v>
      </c>
      <c r="BV38" s="1024">
        <f t="shared" si="3"/>
        <v>297.1002350878988</v>
      </c>
      <c r="BW38" s="1024">
        <f t="shared" si="3"/>
        <v>300.7909388277523</v>
      </c>
      <c r="BX38" s="1024">
        <f t="shared" si="3"/>
        <v>304.4369032697523</v>
      </c>
      <c r="BY38" s="1024">
        <f t="shared" si="3"/>
        <v>308.0397170237507</v>
      </c>
      <c r="BZ38" s="1024">
        <f t="shared" si="3"/>
        <v>311.60087685317626</v>
      </c>
      <c r="CA38" s="1024">
        <f t="shared" si="3"/>
        <v>315.12179494167685</v>
      </c>
      <c r="CB38" s="1024">
        <f t="shared" si="3"/>
        <v>318.6038054368782</v>
      </c>
      <c r="CC38" s="1024">
        <f t="shared" si="3"/>
        <v>322.0481703572558</v>
      </c>
      <c r="CD38" s="1024">
        <f t="shared" si="3"/>
        <v>325.45608493628134</v>
      </c>
      <c r="CE38" s="1024">
        <f t="shared" si="3"/>
        <v>328.8286824680108</v>
      </c>
      <c r="CF38" s="1024">
        <f>(2*(alpha.x*Vc*CF40)^0.5)</f>
        <v>332.16703870980905</v>
      </c>
      <c r="CG38" s="1024"/>
      <c r="CH38" s="1024"/>
      <c r="CI38" s="1024">
        <f aca="true" t="shared" si="4" ref="CI38:DN38">(2*(alpha.x*Vc*CI40)^0.5)</f>
        <v>1.7268542060030352</v>
      </c>
      <c r="CJ38" s="1024">
        <f t="shared" si="4"/>
        <v>47.006608227404485</v>
      </c>
      <c r="CK38" s="1024">
        <f t="shared" si="4"/>
        <v>66.4549502192319</v>
      </c>
      <c r="CL38" s="1024">
        <f t="shared" si="4"/>
        <v>81.38119930448612</v>
      </c>
      <c r="CM38" s="1024">
        <f t="shared" si="4"/>
        <v>93.96562558634083</v>
      </c>
      <c r="CN38" s="1024">
        <f t="shared" si="4"/>
        <v>105.05321500757744</v>
      </c>
      <c r="CO38" s="1024">
        <f t="shared" si="4"/>
        <v>115.0774399047189</v>
      </c>
      <c r="CP38" s="1024">
        <f t="shared" si="4"/>
        <v>124.29584211316198</v>
      </c>
      <c r="CQ38" s="1024">
        <f t="shared" si="4"/>
        <v>132.8762415114756</v>
      </c>
      <c r="CR38" s="1024">
        <f t="shared" si="4"/>
        <v>140.9352147258161</v>
      </c>
      <c r="CS38" s="1024">
        <f t="shared" si="4"/>
        <v>148.55764517993612</v>
      </c>
      <c r="CT38" s="1024">
        <f t="shared" si="4"/>
        <v>155.8076157734393</v>
      </c>
      <c r="CU38" s="1024">
        <f t="shared" si="4"/>
        <v>162.7349142765608</v>
      </c>
      <c r="CV38" s="1024">
        <f t="shared" si="4"/>
        <v>169.37913542167905</v>
      </c>
      <c r="CW38" s="1024">
        <f t="shared" si="4"/>
        <v>175.7723832340888</v>
      </c>
      <c r="CX38" s="1024">
        <f t="shared" si="4"/>
        <v>181.9411165717834</v>
      </c>
      <c r="CY38" s="1024">
        <f t="shared" si="4"/>
        <v>187.90744820518208</v>
      </c>
      <c r="CZ38" s="1024">
        <f t="shared" si="4"/>
        <v>193.6900830775264</v>
      </c>
      <c r="DA38" s="1024">
        <f t="shared" si="4"/>
        <v>199.3050111617241</v>
      </c>
      <c r="DB38" s="1024">
        <f t="shared" si="4"/>
        <v>204.76602908141496</v>
      </c>
      <c r="DC38" s="1024">
        <f t="shared" si="4"/>
        <v>210.08513954434466</v>
      </c>
      <c r="DD38" s="1024">
        <f t="shared" si="4"/>
        <v>215.27286184970615</v>
      </c>
      <c r="DE38" s="1024">
        <f t="shared" si="4"/>
        <v>220.33847653226292</v>
      </c>
      <c r="DF38" s="1024">
        <f t="shared" si="4"/>
        <v>225.29022045387248</v>
      </c>
      <c r="DG38" s="1024">
        <f t="shared" si="4"/>
        <v>230.13544408402274</v>
      </c>
      <c r="DH38" s="1024">
        <f t="shared" si="4"/>
        <v>234.88073955807073</v>
      </c>
      <c r="DI38" s="1024">
        <f t="shared" si="4"/>
        <v>239.53204588727195</v>
      </c>
      <c r="DJ38" s="1024">
        <f t="shared" si="4"/>
        <v>244.0947361139483</v>
      </c>
      <c r="DK38" s="1024">
        <f t="shared" si="4"/>
        <v>248.57369006017905</v>
      </c>
      <c r="DL38" s="1024">
        <f t="shared" si="4"/>
        <v>252.97335547786423</v>
      </c>
      <c r="DM38" s="1024">
        <f t="shared" si="4"/>
        <v>257.2977997832973</v>
      </c>
      <c r="DN38" s="1024">
        <f t="shared" si="4"/>
        <v>261.55075408975915</v>
      </c>
      <c r="DO38" s="1024">
        <f aca="true" t="shared" si="5" ref="DO38:EF38">(2*(alpha.x*Vc*DO40)^0.5)</f>
        <v>265.735650894865</v>
      </c>
      <c r="DP38" s="1024">
        <f t="shared" si="5"/>
        <v>269.8556565056835</v>
      </c>
      <c r="DQ38" s="1024">
        <f t="shared" si="5"/>
        <v>273.91369907273594</v>
      </c>
      <c r="DR38" s="1024">
        <f t="shared" si="5"/>
        <v>277.91249293852417</v>
      </c>
      <c r="DS38" s="1024">
        <f t="shared" si="5"/>
        <v>281.85455987601324</v>
      </c>
      <c r="DT38" s="1024">
        <f t="shared" si="5"/>
        <v>285.7422476892366</v>
      </c>
      <c r="DU38" s="1024">
        <f t="shared" si="5"/>
        <v>289.57774656574173</v>
      </c>
      <c r="DV38" s="1024">
        <f t="shared" si="5"/>
        <v>293.3631035043242</v>
      </c>
      <c r="DW38" s="1024">
        <f t="shared" si="5"/>
        <v>297.1002350878988</v>
      </c>
      <c r="DX38" s="1024">
        <f t="shared" si="5"/>
        <v>300.7909388277523</v>
      </c>
      <c r="DY38" s="1024">
        <f t="shared" si="5"/>
        <v>304.4369032697523</v>
      </c>
      <c r="DZ38" s="1024">
        <f t="shared" si="5"/>
        <v>308.0397170237507</v>
      </c>
      <c r="EA38" s="1024">
        <f t="shared" si="5"/>
        <v>311.60087685317626</v>
      </c>
      <c r="EB38" s="1024">
        <f t="shared" si="5"/>
        <v>315.12179494167685</v>
      </c>
      <c r="EC38" s="1024">
        <f t="shared" si="5"/>
        <v>318.6038054368782</v>
      </c>
      <c r="ED38" s="1024">
        <f t="shared" si="5"/>
        <v>322.0481703572558</v>
      </c>
      <c r="EE38" s="1024">
        <f t="shared" si="5"/>
        <v>325.45608493628134</v>
      </c>
      <c r="EF38" s="1024">
        <f t="shared" si="5"/>
        <v>328.8286824680108</v>
      </c>
      <c r="EG38" s="1024">
        <f>(2*(alpha.x*Vc*EG40)^0.5)</f>
        <v>332.16703870980905</v>
      </c>
      <c r="EH38" s="1024"/>
      <c r="EI38" s="1024"/>
      <c r="EJ38" s="1024">
        <f>(2*(alpha.x*Vc*EJ40)^0.5)</f>
        <v>528.1536430173212</v>
      </c>
    </row>
    <row r="39" spans="1:137" ht="12.75">
      <c r="A39" s="342"/>
      <c r="B39" s="342"/>
      <c r="C39" s="342"/>
      <c r="D39" s="342"/>
      <c r="E39" s="342"/>
      <c r="F39" s="342"/>
      <c r="G39" s="342"/>
      <c r="H39" s="342"/>
      <c r="I39" s="342"/>
      <c r="J39" s="342"/>
      <c r="K39" s="342"/>
      <c r="L39" s="342"/>
      <c r="M39" s="342"/>
      <c r="N39" s="342"/>
      <c r="O39" s="342"/>
      <c r="P39" s="342"/>
      <c r="Q39" s="342"/>
      <c r="AA39" s="713"/>
      <c r="AB39" s="1021" t="s">
        <v>211</v>
      </c>
      <c r="AC39" s="713"/>
      <c r="AD39" s="1019" t="s">
        <v>281</v>
      </c>
      <c r="AE39" s="1025" t="s">
        <v>280</v>
      </c>
      <c r="AF39" s="1024"/>
      <c r="AG39" s="1024"/>
      <c r="AH39" s="1026" t="s">
        <v>212</v>
      </c>
      <c r="AI39" s="524" t="s">
        <v>213</v>
      </c>
      <c r="AJ39" s="524" t="s">
        <v>214</v>
      </c>
      <c r="AK39" s="524" t="s">
        <v>215</v>
      </c>
      <c r="AL39" s="524" t="s">
        <v>216</v>
      </c>
      <c r="AM39" s="524" t="s">
        <v>217</v>
      </c>
      <c r="AN39" s="524" t="s">
        <v>218</v>
      </c>
      <c r="AO39" s="524" t="s">
        <v>219</v>
      </c>
      <c r="AP39" s="524" t="s">
        <v>220</v>
      </c>
      <c r="AQ39" s="524" t="s">
        <v>221</v>
      </c>
      <c r="AR39" s="524" t="s">
        <v>222</v>
      </c>
      <c r="AS39" s="524" t="s">
        <v>223</v>
      </c>
      <c r="AT39" s="524" t="s">
        <v>224</v>
      </c>
      <c r="AU39" s="524" t="s">
        <v>225</v>
      </c>
      <c r="AV39" s="524" t="s">
        <v>226</v>
      </c>
      <c r="AW39" s="524" t="s">
        <v>227</v>
      </c>
      <c r="AX39" s="524" t="s">
        <v>228</v>
      </c>
      <c r="AY39" s="524" t="s">
        <v>229</v>
      </c>
      <c r="AZ39" s="524" t="s">
        <v>230</v>
      </c>
      <c r="BA39" s="524" t="s">
        <v>231</v>
      </c>
      <c r="BB39" s="524" t="s">
        <v>232</v>
      </c>
      <c r="BC39" s="524" t="s">
        <v>233</v>
      </c>
      <c r="BD39" s="524" t="s">
        <v>234</v>
      </c>
      <c r="BE39" s="524" t="s">
        <v>235</v>
      </c>
      <c r="BF39" s="524" t="s">
        <v>236</v>
      </c>
      <c r="BG39" s="524" t="s">
        <v>237</v>
      </c>
      <c r="BH39" s="524" t="s">
        <v>238</v>
      </c>
      <c r="BI39" s="524" t="s">
        <v>239</v>
      </c>
      <c r="BJ39" s="524" t="s">
        <v>240</v>
      </c>
      <c r="BK39" s="524" t="s">
        <v>241</v>
      </c>
      <c r="BL39" s="524" t="s">
        <v>242</v>
      </c>
      <c r="BM39" s="524" t="s">
        <v>243</v>
      </c>
      <c r="BN39" s="524" t="s">
        <v>244</v>
      </c>
      <c r="BO39" s="524" t="s">
        <v>245</v>
      </c>
      <c r="BP39" s="524" t="s">
        <v>246</v>
      </c>
      <c r="BQ39" s="524" t="s">
        <v>247</v>
      </c>
      <c r="BR39" s="524" t="s">
        <v>248</v>
      </c>
      <c r="BS39" s="524" t="s">
        <v>249</v>
      </c>
      <c r="BT39" s="524" t="s">
        <v>250</v>
      </c>
      <c r="BU39" s="524" t="s">
        <v>251</v>
      </c>
      <c r="BV39" s="524" t="s">
        <v>252</v>
      </c>
      <c r="BW39" s="524" t="s">
        <v>253</v>
      </c>
      <c r="BX39" s="524" t="s">
        <v>254</v>
      </c>
      <c r="BY39" s="524" t="s">
        <v>255</v>
      </c>
      <c r="BZ39" s="524" t="s">
        <v>256</v>
      </c>
      <c r="CA39" s="524" t="s">
        <v>257</v>
      </c>
      <c r="CB39" s="524" t="s">
        <v>258</v>
      </c>
      <c r="CC39" s="524" t="s">
        <v>259</v>
      </c>
      <c r="CD39" s="524" t="s">
        <v>260</v>
      </c>
      <c r="CE39" s="524" t="s">
        <v>261</v>
      </c>
      <c r="CF39" s="524" t="s">
        <v>263</v>
      </c>
      <c r="CI39" s="524" t="s">
        <v>212</v>
      </c>
      <c r="CJ39" s="524" t="s">
        <v>213</v>
      </c>
      <c r="CK39" s="524" t="s">
        <v>214</v>
      </c>
      <c r="CL39" s="524" t="s">
        <v>215</v>
      </c>
      <c r="CM39" s="524" t="s">
        <v>216</v>
      </c>
      <c r="CN39" s="524" t="s">
        <v>217</v>
      </c>
      <c r="CO39" s="524" t="s">
        <v>218</v>
      </c>
      <c r="CP39" s="524" t="s">
        <v>219</v>
      </c>
      <c r="CQ39" s="524" t="s">
        <v>220</v>
      </c>
      <c r="CR39" s="524" t="s">
        <v>221</v>
      </c>
      <c r="CS39" s="524" t="s">
        <v>222</v>
      </c>
      <c r="CT39" s="524" t="s">
        <v>223</v>
      </c>
      <c r="CU39" s="524" t="s">
        <v>224</v>
      </c>
      <c r="CV39" s="524" t="s">
        <v>225</v>
      </c>
      <c r="CW39" s="524" t="s">
        <v>226</v>
      </c>
      <c r="CX39" s="524" t="s">
        <v>227</v>
      </c>
      <c r="CY39" s="524" t="s">
        <v>228</v>
      </c>
      <c r="CZ39" s="524" t="s">
        <v>229</v>
      </c>
      <c r="DA39" s="524" t="s">
        <v>230</v>
      </c>
      <c r="DB39" s="524" t="s">
        <v>231</v>
      </c>
      <c r="DC39" s="524" t="s">
        <v>232</v>
      </c>
      <c r="DD39" s="524" t="s">
        <v>233</v>
      </c>
      <c r="DE39" s="524" t="s">
        <v>234</v>
      </c>
      <c r="DF39" s="524" t="s">
        <v>235</v>
      </c>
      <c r="DG39" s="524" t="s">
        <v>236</v>
      </c>
      <c r="DH39" s="524" t="s">
        <v>237</v>
      </c>
      <c r="DI39" s="524" t="s">
        <v>238</v>
      </c>
      <c r="DJ39" s="524" t="s">
        <v>239</v>
      </c>
      <c r="DK39" s="524" t="s">
        <v>240</v>
      </c>
      <c r="DL39" s="524" t="s">
        <v>241</v>
      </c>
      <c r="DM39" s="524" t="s">
        <v>242</v>
      </c>
      <c r="DN39" s="524" t="s">
        <v>243</v>
      </c>
      <c r="DO39" s="524" t="s">
        <v>244</v>
      </c>
      <c r="DP39" s="524" t="s">
        <v>245</v>
      </c>
      <c r="DQ39" s="524" t="s">
        <v>246</v>
      </c>
      <c r="DR39" s="524" t="s">
        <v>247</v>
      </c>
      <c r="DS39" s="524" t="s">
        <v>248</v>
      </c>
      <c r="DT39" s="524" t="s">
        <v>249</v>
      </c>
      <c r="DU39" s="524" t="s">
        <v>250</v>
      </c>
      <c r="DV39" s="524" t="s">
        <v>251</v>
      </c>
      <c r="DW39" s="524" t="s">
        <v>252</v>
      </c>
      <c r="DX39" s="524" t="s">
        <v>253</v>
      </c>
      <c r="DY39" s="524" t="s">
        <v>254</v>
      </c>
      <c r="DZ39" s="524" t="s">
        <v>255</v>
      </c>
      <c r="EA39" s="524" t="s">
        <v>256</v>
      </c>
      <c r="EB39" s="524" t="s">
        <v>257</v>
      </c>
      <c r="EC39" s="524" t="s">
        <v>258</v>
      </c>
      <c r="ED39" s="524" t="s">
        <v>259</v>
      </c>
      <c r="EE39" s="524" t="s">
        <v>260</v>
      </c>
      <c r="EF39" s="524" t="s">
        <v>261</v>
      </c>
      <c r="EG39" s="524" t="s">
        <v>263</v>
      </c>
    </row>
    <row r="40" spans="1:140" ht="12.75">
      <c r="A40" s="342"/>
      <c r="B40" s="342"/>
      <c r="C40" s="342"/>
      <c r="D40" s="342"/>
      <c r="E40" s="342"/>
      <c r="F40" s="342"/>
      <c r="G40" s="342"/>
      <c r="H40" s="342"/>
      <c r="I40" s="342"/>
      <c r="J40" s="342"/>
      <c r="K40" s="342"/>
      <c r="L40" s="342"/>
      <c r="M40" s="342"/>
      <c r="N40" s="342"/>
      <c r="O40" s="342"/>
      <c r="P40" s="342"/>
      <c r="Q40" s="342"/>
      <c r="AA40" s="713"/>
      <c r="AB40" s="1021" t="s">
        <v>209</v>
      </c>
      <c r="AC40" s="713"/>
      <c r="AD40" s="1019">
        <f>t_sim</f>
        <v>37</v>
      </c>
      <c r="AE40" s="1025">
        <f>t_sim</f>
        <v>37</v>
      </c>
      <c r="AF40" s="1015"/>
      <c r="AG40" s="1015"/>
      <c r="AH40" s="1015">
        <f>t_start</f>
        <v>0.001</v>
      </c>
      <c r="AI40" s="524">
        <f>AH40+$AI$34</f>
        <v>0.7409800000000001</v>
      </c>
      <c r="AJ40" s="524">
        <f>AI40+$AI$34</f>
        <v>1.48096</v>
      </c>
      <c r="AK40" s="524">
        <f>AJ40+$AI$34</f>
        <v>2.22094</v>
      </c>
      <c r="AL40" s="524">
        <f aca="true" t="shared" si="6" ref="AL40:AU40">AK40+$AI$34</f>
        <v>2.96092</v>
      </c>
      <c r="AM40" s="524">
        <f t="shared" si="6"/>
        <v>3.7009000000000003</v>
      </c>
      <c r="AN40" s="524">
        <f t="shared" si="6"/>
        <v>4.44088</v>
      </c>
      <c r="AO40" s="524">
        <f t="shared" si="6"/>
        <v>5.18086</v>
      </c>
      <c r="AP40" s="524">
        <f t="shared" si="6"/>
        <v>5.92084</v>
      </c>
      <c r="AQ40" s="524">
        <f t="shared" si="6"/>
        <v>6.66082</v>
      </c>
      <c r="AR40" s="524">
        <f t="shared" si="6"/>
        <v>7.4008</v>
      </c>
      <c r="AS40" s="524">
        <f t="shared" si="6"/>
        <v>8.14078</v>
      </c>
      <c r="AT40" s="524">
        <f t="shared" si="6"/>
        <v>8.880759999999999</v>
      </c>
      <c r="AU40" s="524">
        <f t="shared" si="6"/>
        <v>9.620739999999998</v>
      </c>
      <c r="AV40" s="524">
        <f aca="true" t="shared" si="7" ref="AV40:BT40">AU40+$AI$34</f>
        <v>10.360719999999997</v>
      </c>
      <c r="AW40" s="524">
        <f t="shared" si="7"/>
        <v>11.100699999999996</v>
      </c>
      <c r="AX40" s="524">
        <f t="shared" si="7"/>
        <v>11.840679999999995</v>
      </c>
      <c r="AY40" s="524">
        <f t="shared" si="7"/>
        <v>12.580659999999995</v>
      </c>
      <c r="AZ40" s="524">
        <f t="shared" si="7"/>
        <v>13.320639999999994</v>
      </c>
      <c r="BA40" s="524">
        <f t="shared" si="7"/>
        <v>14.060619999999993</v>
      </c>
      <c r="BB40" s="524">
        <f t="shared" si="7"/>
        <v>14.800599999999992</v>
      </c>
      <c r="BC40" s="524">
        <f t="shared" si="7"/>
        <v>15.540579999999991</v>
      </c>
      <c r="BD40" s="524">
        <f t="shared" si="7"/>
        <v>16.28055999999999</v>
      </c>
      <c r="BE40" s="524">
        <f t="shared" si="7"/>
        <v>17.02053999999999</v>
      </c>
      <c r="BF40" s="524">
        <f t="shared" si="7"/>
        <v>17.76051999999999</v>
      </c>
      <c r="BG40" s="524">
        <f t="shared" si="7"/>
        <v>18.500499999999988</v>
      </c>
      <c r="BH40" s="524">
        <f t="shared" si="7"/>
        <v>19.240479999999987</v>
      </c>
      <c r="BI40" s="524">
        <f t="shared" si="7"/>
        <v>19.980459999999987</v>
      </c>
      <c r="BJ40" s="524">
        <f t="shared" si="7"/>
        <v>20.720439999999986</v>
      </c>
      <c r="BK40" s="524">
        <f t="shared" si="7"/>
        <v>21.460419999999985</v>
      </c>
      <c r="BL40" s="524">
        <f t="shared" si="7"/>
        <v>22.200399999999984</v>
      </c>
      <c r="BM40" s="524">
        <f t="shared" si="7"/>
        <v>22.940379999999983</v>
      </c>
      <c r="BN40" s="524">
        <f t="shared" si="7"/>
        <v>23.680359999999983</v>
      </c>
      <c r="BO40" s="524">
        <f t="shared" si="7"/>
        <v>24.42033999999998</v>
      </c>
      <c r="BP40" s="524">
        <f t="shared" si="7"/>
        <v>25.16031999999998</v>
      </c>
      <c r="BQ40" s="524">
        <f t="shared" si="7"/>
        <v>25.90029999999998</v>
      </c>
      <c r="BR40" s="524">
        <f t="shared" si="7"/>
        <v>26.64027999999998</v>
      </c>
      <c r="BS40" s="524">
        <f t="shared" si="7"/>
        <v>27.38025999999998</v>
      </c>
      <c r="BT40" s="524">
        <f t="shared" si="7"/>
        <v>28.120239999999978</v>
      </c>
      <c r="BU40" s="524">
        <f>BT40+$AI$34</f>
        <v>28.860219999999977</v>
      </c>
      <c r="BV40" s="524">
        <f aca="true" t="shared" si="8" ref="BV40:CE40">BU40+$AI$34</f>
        <v>29.600199999999976</v>
      </c>
      <c r="BW40" s="524">
        <f t="shared" si="8"/>
        <v>30.340179999999975</v>
      </c>
      <c r="BX40" s="524">
        <f t="shared" si="8"/>
        <v>31.080159999999974</v>
      </c>
      <c r="BY40" s="524">
        <f t="shared" si="8"/>
        <v>31.820139999999974</v>
      </c>
      <c r="BZ40" s="524">
        <f t="shared" si="8"/>
        <v>32.560119999999976</v>
      </c>
      <c r="CA40" s="524">
        <f t="shared" si="8"/>
        <v>33.30009999999998</v>
      </c>
      <c r="CB40" s="524">
        <f t="shared" si="8"/>
        <v>34.04007999999998</v>
      </c>
      <c r="CC40" s="524">
        <f t="shared" si="8"/>
        <v>34.780059999999985</v>
      </c>
      <c r="CD40" s="524">
        <f t="shared" si="8"/>
        <v>35.52003999999999</v>
      </c>
      <c r="CE40" s="524">
        <f t="shared" si="8"/>
        <v>36.26001999999999</v>
      </c>
      <c r="CF40" s="524">
        <f>CE40+$AI$34</f>
        <v>36.99999999999999</v>
      </c>
      <c r="CI40" s="524">
        <f>t_start</f>
        <v>0.001</v>
      </c>
      <c r="CJ40" s="524">
        <f>CI40+$AI$34</f>
        <v>0.7409800000000001</v>
      </c>
      <c r="CK40" s="524">
        <f>CJ40+$AI$34</f>
        <v>1.48096</v>
      </c>
      <c r="CL40" s="524">
        <f>CK40+$AI$34</f>
        <v>2.22094</v>
      </c>
      <c r="CM40" s="524">
        <f>CL40+$AI$34</f>
        <v>2.96092</v>
      </c>
      <c r="CN40" s="524">
        <f>CM40+$AI$34</f>
        <v>3.7009000000000003</v>
      </c>
      <c r="CO40" s="524">
        <f aca="true" t="shared" si="9" ref="CO40:EF40">CN40+$AI$34</f>
        <v>4.44088</v>
      </c>
      <c r="CP40" s="524">
        <f t="shared" si="9"/>
        <v>5.18086</v>
      </c>
      <c r="CQ40" s="524">
        <f t="shared" si="9"/>
        <v>5.92084</v>
      </c>
      <c r="CR40" s="524">
        <f t="shared" si="9"/>
        <v>6.66082</v>
      </c>
      <c r="CS40" s="524">
        <f t="shared" si="9"/>
        <v>7.4008</v>
      </c>
      <c r="CT40" s="524">
        <f t="shared" si="9"/>
        <v>8.14078</v>
      </c>
      <c r="CU40" s="524">
        <f t="shared" si="9"/>
        <v>8.880759999999999</v>
      </c>
      <c r="CV40" s="524">
        <f t="shared" si="9"/>
        <v>9.620739999999998</v>
      </c>
      <c r="CW40" s="524">
        <f t="shared" si="9"/>
        <v>10.360719999999997</v>
      </c>
      <c r="CX40" s="524">
        <f t="shared" si="9"/>
        <v>11.100699999999996</v>
      </c>
      <c r="CY40" s="524">
        <f t="shared" si="9"/>
        <v>11.840679999999995</v>
      </c>
      <c r="CZ40" s="524">
        <f t="shared" si="9"/>
        <v>12.580659999999995</v>
      </c>
      <c r="DA40" s="524">
        <f t="shared" si="9"/>
        <v>13.320639999999994</v>
      </c>
      <c r="DB40" s="524">
        <f t="shared" si="9"/>
        <v>14.060619999999993</v>
      </c>
      <c r="DC40" s="524">
        <f t="shared" si="9"/>
        <v>14.800599999999992</v>
      </c>
      <c r="DD40" s="524">
        <f t="shared" si="9"/>
        <v>15.540579999999991</v>
      </c>
      <c r="DE40" s="524">
        <f t="shared" si="9"/>
        <v>16.28055999999999</v>
      </c>
      <c r="DF40" s="524">
        <f t="shared" si="9"/>
        <v>17.02053999999999</v>
      </c>
      <c r="DG40" s="524">
        <f t="shared" si="9"/>
        <v>17.76051999999999</v>
      </c>
      <c r="DH40" s="524">
        <f t="shared" si="9"/>
        <v>18.500499999999988</v>
      </c>
      <c r="DI40" s="524">
        <f t="shared" si="9"/>
        <v>19.240479999999987</v>
      </c>
      <c r="DJ40" s="524">
        <f t="shared" si="9"/>
        <v>19.980459999999987</v>
      </c>
      <c r="DK40" s="524">
        <f t="shared" si="9"/>
        <v>20.720439999999986</v>
      </c>
      <c r="DL40" s="524">
        <f t="shared" si="9"/>
        <v>21.460419999999985</v>
      </c>
      <c r="DM40" s="524">
        <f t="shared" si="9"/>
        <v>22.200399999999984</v>
      </c>
      <c r="DN40" s="524">
        <f t="shared" si="9"/>
        <v>22.940379999999983</v>
      </c>
      <c r="DO40" s="524">
        <f t="shared" si="9"/>
        <v>23.680359999999983</v>
      </c>
      <c r="DP40" s="524">
        <f t="shared" si="9"/>
        <v>24.42033999999998</v>
      </c>
      <c r="DQ40" s="524">
        <f t="shared" si="9"/>
        <v>25.16031999999998</v>
      </c>
      <c r="DR40" s="524">
        <f t="shared" si="9"/>
        <v>25.90029999999998</v>
      </c>
      <c r="DS40" s="524">
        <f t="shared" si="9"/>
        <v>26.64027999999998</v>
      </c>
      <c r="DT40" s="524">
        <f t="shared" si="9"/>
        <v>27.38025999999998</v>
      </c>
      <c r="DU40" s="524">
        <f t="shared" si="9"/>
        <v>28.120239999999978</v>
      </c>
      <c r="DV40" s="524">
        <f t="shared" si="9"/>
        <v>28.860219999999977</v>
      </c>
      <c r="DW40" s="524">
        <f t="shared" si="9"/>
        <v>29.600199999999976</v>
      </c>
      <c r="DX40" s="524">
        <f t="shared" si="9"/>
        <v>30.340179999999975</v>
      </c>
      <c r="DY40" s="524">
        <f t="shared" si="9"/>
        <v>31.080159999999974</v>
      </c>
      <c r="DZ40" s="524">
        <f t="shared" si="9"/>
        <v>31.820139999999974</v>
      </c>
      <c r="EA40" s="524">
        <f t="shared" si="9"/>
        <v>32.560119999999976</v>
      </c>
      <c r="EB40" s="524">
        <f t="shared" si="9"/>
        <v>33.30009999999998</v>
      </c>
      <c r="EC40" s="524">
        <f t="shared" si="9"/>
        <v>34.04007999999998</v>
      </c>
      <c r="ED40" s="524">
        <f t="shared" si="9"/>
        <v>34.780059999999985</v>
      </c>
      <c r="EE40" s="524">
        <f t="shared" si="9"/>
        <v>35.52003999999999</v>
      </c>
      <c r="EF40" s="524">
        <f t="shared" si="9"/>
        <v>36.26001999999999</v>
      </c>
      <c r="EG40" s="524">
        <f>EF40+$AI$34</f>
        <v>36.99999999999999</v>
      </c>
      <c r="EJ40" s="524">
        <v>93.54255200793793</v>
      </c>
    </row>
    <row r="41" spans="1:140" s="766" customFormat="1" ht="12.75">
      <c r="A41" s="498"/>
      <c r="B41" s="498"/>
      <c r="C41" s="498"/>
      <c r="D41" s="498"/>
      <c r="E41" s="498"/>
      <c r="F41" s="498"/>
      <c r="G41" s="498"/>
      <c r="H41" s="498"/>
      <c r="I41" s="498"/>
      <c r="J41" s="498"/>
      <c r="K41" s="498"/>
      <c r="L41" s="498"/>
      <c r="M41" s="498"/>
      <c r="N41" s="498"/>
      <c r="O41" s="498"/>
      <c r="P41" s="498"/>
      <c r="Q41" s="498"/>
      <c r="AA41" s="713"/>
      <c r="AB41" s="1021" t="s">
        <v>192</v>
      </c>
      <c r="AC41" s="542"/>
      <c r="AD41" s="1027">
        <f>H24</f>
        <v>50</v>
      </c>
      <c r="AE41" s="1028">
        <f>H28</f>
        <v>200</v>
      </c>
      <c r="AF41" s="257"/>
      <c r="AG41" s="257"/>
      <c r="AH41" s="257">
        <f>$H$24</f>
        <v>50</v>
      </c>
      <c r="AI41" s="257">
        <f aca="true" t="shared" si="10" ref="AI41:CF41">$H$24</f>
        <v>50</v>
      </c>
      <c r="AJ41" s="257">
        <f t="shared" si="10"/>
        <v>50</v>
      </c>
      <c r="AK41" s="257">
        <f t="shared" si="10"/>
        <v>50</v>
      </c>
      <c r="AL41" s="257">
        <f t="shared" si="10"/>
        <v>50</v>
      </c>
      <c r="AM41" s="257">
        <f t="shared" si="10"/>
        <v>50</v>
      </c>
      <c r="AN41" s="257">
        <f t="shared" si="10"/>
        <v>50</v>
      </c>
      <c r="AO41" s="257">
        <f t="shared" si="10"/>
        <v>50</v>
      </c>
      <c r="AP41" s="257">
        <f t="shared" si="10"/>
        <v>50</v>
      </c>
      <c r="AQ41" s="257">
        <f t="shared" si="10"/>
        <v>50</v>
      </c>
      <c r="AR41" s="257">
        <f t="shared" si="10"/>
        <v>50</v>
      </c>
      <c r="AS41" s="257">
        <f t="shared" si="10"/>
        <v>50</v>
      </c>
      <c r="AT41" s="257">
        <f t="shared" si="10"/>
        <v>50</v>
      </c>
      <c r="AU41" s="257">
        <f t="shared" si="10"/>
        <v>50</v>
      </c>
      <c r="AV41" s="257">
        <f t="shared" si="10"/>
        <v>50</v>
      </c>
      <c r="AW41" s="257">
        <f t="shared" si="10"/>
        <v>50</v>
      </c>
      <c r="AX41" s="257">
        <f t="shared" si="10"/>
        <v>50</v>
      </c>
      <c r="AY41" s="257">
        <f t="shared" si="10"/>
        <v>50</v>
      </c>
      <c r="AZ41" s="257">
        <f t="shared" si="10"/>
        <v>50</v>
      </c>
      <c r="BA41" s="257">
        <f t="shared" si="10"/>
        <v>50</v>
      </c>
      <c r="BB41" s="257">
        <f t="shared" si="10"/>
        <v>50</v>
      </c>
      <c r="BC41" s="257">
        <f t="shared" si="10"/>
        <v>50</v>
      </c>
      <c r="BD41" s="257">
        <f t="shared" si="10"/>
        <v>50</v>
      </c>
      <c r="BE41" s="257">
        <f t="shared" si="10"/>
        <v>50</v>
      </c>
      <c r="BF41" s="257">
        <f t="shared" si="10"/>
        <v>50</v>
      </c>
      <c r="BG41" s="257">
        <f t="shared" si="10"/>
        <v>50</v>
      </c>
      <c r="BH41" s="257">
        <f t="shared" si="10"/>
        <v>50</v>
      </c>
      <c r="BI41" s="257">
        <f t="shared" si="10"/>
        <v>50</v>
      </c>
      <c r="BJ41" s="257">
        <f t="shared" si="10"/>
        <v>50</v>
      </c>
      <c r="BK41" s="257">
        <f t="shared" si="10"/>
        <v>50</v>
      </c>
      <c r="BL41" s="257">
        <f t="shared" si="10"/>
        <v>50</v>
      </c>
      <c r="BM41" s="257">
        <f t="shared" si="10"/>
        <v>50</v>
      </c>
      <c r="BN41" s="257">
        <f t="shared" si="10"/>
        <v>50</v>
      </c>
      <c r="BO41" s="257">
        <f t="shared" si="10"/>
        <v>50</v>
      </c>
      <c r="BP41" s="257">
        <f t="shared" si="10"/>
        <v>50</v>
      </c>
      <c r="BQ41" s="257">
        <f t="shared" si="10"/>
        <v>50</v>
      </c>
      <c r="BR41" s="257">
        <f t="shared" si="10"/>
        <v>50</v>
      </c>
      <c r="BS41" s="257">
        <f t="shared" si="10"/>
        <v>50</v>
      </c>
      <c r="BT41" s="257">
        <f t="shared" si="10"/>
        <v>50</v>
      </c>
      <c r="BU41" s="257">
        <f t="shared" si="10"/>
        <v>50</v>
      </c>
      <c r="BV41" s="257">
        <f t="shared" si="10"/>
        <v>50</v>
      </c>
      <c r="BW41" s="257">
        <f t="shared" si="10"/>
        <v>50</v>
      </c>
      <c r="BX41" s="257">
        <f t="shared" si="10"/>
        <v>50</v>
      </c>
      <c r="BY41" s="257">
        <f t="shared" si="10"/>
        <v>50</v>
      </c>
      <c r="BZ41" s="257">
        <f t="shared" si="10"/>
        <v>50</v>
      </c>
      <c r="CA41" s="257">
        <f t="shared" si="10"/>
        <v>50</v>
      </c>
      <c r="CB41" s="257">
        <f t="shared" si="10"/>
        <v>50</v>
      </c>
      <c r="CC41" s="257">
        <f t="shared" si="10"/>
        <v>50</v>
      </c>
      <c r="CD41" s="257">
        <f t="shared" si="10"/>
        <v>50</v>
      </c>
      <c r="CE41" s="257">
        <f t="shared" si="10"/>
        <v>50</v>
      </c>
      <c r="CF41" s="257">
        <f t="shared" si="10"/>
        <v>50</v>
      </c>
      <c r="CG41" s="257"/>
      <c r="CH41" s="257"/>
      <c r="CI41" s="257">
        <f>$H$28</f>
        <v>200</v>
      </c>
      <c r="CJ41" s="257">
        <f>$H$28</f>
        <v>200</v>
      </c>
      <c r="CK41" s="257">
        <f aca="true" t="shared" si="11" ref="CK41:EG41">$H$28</f>
        <v>200</v>
      </c>
      <c r="CL41" s="257">
        <f t="shared" si="11"/>
        <v>200</v>
      </c>
      <c r="CM41" s="257">
        <f t="shared" si="11"/>
        <v>200</v>
      </c>
      <c r="CN41" s="257">
        <f t="shared" si="11"/>
        <v>200</v>
      </c>
      <c r="CO41" s="257">
        <f t="shared" si="11"/>
        <v>200</v>
      </c>
      <c r="CP41" s="257">
        <f t="shared" si="11"/>
        <v>200</v>
      </c>
      <c r="CQ41" s="257">
        <f t="shared" si="11"/>
        <v>200</v>
      </c>
      <c r="CR41" s="257">
        <f t="shared" si="11"/>
        <v>200</v>
      </c>
      <c r="CS41" s="257">
        <f t="shared" si="11"/>
        <v>200</v>
      </c>
      <c r="CT41" s="257">
        <f t="shared" si="11"/>
        <v>200</v>
      </c>
      <c r="CU41" s="257">
        <f t="shared" si="11"/>
        <v>200</v>
      </c>
      <c r="CV41" s="257">
        <f t="shared" si="11"/>
        <v>200</v>
      </c>
      <c r="CW41" s="257">
        <f t="shared" si="11"/>
        <v>200</v>
      </c>
      <c r="CX41" s="257">
        <f t="shared" si="11"/>
        <v>200</v>
      </c>
      <c r="CY41" s="257">
        <f t="shared" si="11"/>
        <v>200</v>
      </c>
      <c r="CZ41" s="257">
        <f t="shared" si="11"/>
        <v>200</v>
      </c>
      <c r="DA41" s="257">
        <f t="shared" si="11"/>
        <v>200</v>
      </c>
      <c r="DB41" s="257">
        <f t="shared" si="11"/>
        <v>200</v>
      </c>
      <c r="DC41" s="257">
        <f t="shared" si="11"/>
        <v>200</v>
      </c>
      <c r="DD41" s="257">
        <f t="shared" si="11"/>
        <v>200</v>
      </c>
      <c r="DE41" s="257">
        <f t="shared" si="11"/>
        <v>200</v>
      </c>
      <c r="DF41" s="257">
        <f t="shared" si="11"/>
        <v>200</v>
      </c>
      <c r="DG41" s="257">
        <f t="shared" si="11"/>
        <v>200</v>
      </c>
      <c r="DH41" s="257">
        <f t="shared" si="11"/>
        <v>200</v>
      </c>
      <c r="DI41" s="257">
        <f t="shared" si="11"/>
        <v>200</v>
      </c>
      <c r="DJ41" s="257">
        <f t="shared" si="11"/>
        <v>200</v>
      </c>
      <c r="DK41" s="257">
        <f t="shared" si="11"/>
        <v>200</v>
      </c>
      <c r="DL41" s="257">
        <f t="shared" si="11"/>
        <v>200</v>
      </c>
      <c r="DM41" s="257">
        <f t="shared" si="11"/>
        <v>200</v>
      </c>
      <c r="DN41" s="257">
        <f t="shared" si="11"/>
        <v>200</v>
      </c>
      <c r="DO41" s="257">
        <f t="shared" si="11"/>
        <v>200</v>
      </c>
      <c r="DP41" s="257">
        <f t="shared" si="11"/>
        <v>200</v>
      </c>
      <c r="DQ41" s="257">
        <f t="shared" si="11"/>
        <v>200</v>
      </c>
      <c r="DR41" s="257">
        <f t="shared" si="11"/>
        <v>200</v>
      </c>
      <c r="DS41" s="257">
        <f t="shared" si="11"/>
        <v>200</v>
      </c>
      <c r="DT41" s="257">
        <f t="shared" si="11"/>
        <v>200</v>
      </c>
      <c r="DU41" s="257">
        <f t="shared" si="11"/>
        <v>200</v>
      </c>
      <c r="DV41" s="257">
        <f t="shared" si="11"/>
        <v>200</v>
      </c>
      <c r="DW41" s="257">
        <f t="shared" si="11"/>
        <v>200</v>
      </c>
      <c r="DX41" s="257">
        <f t="shared" si="11"/>
        <v>200</v>
      </c>
      <c r="DY41" s="257">
        <f t="shared" si="11"/>
        <v>200</v>
      </c>
      <c r="DZ41" s="257">
        <f t="shared" si="11"/>
        <v>200</v>
      </c>
      <c r="EA41" s="257">
        <f t="shared" si="11"/>
        <v>200</v>
      </c>
      <c r="EB41" s="257">
        <f t="shared" si="11"/>
        <v>200</v>
      </c>
      <c r="EC41" s="257">
        <f t="shared" si="11"/>
        <v>200</v>
      </c>
      <c r="ED41" s="257">
        <f t="shared" si="11"/>
        <v>200</v>
      </c>
      <c r="EE41" s="257">
        <f t="shared" si="11"/>
        <v>200</v>
      </c>
      <c r="EF41" s="257">
        <f t="shared" si="11"/>
        <v>200</v>
      </c>
      <c r="EG41" s="257">
        <f t="shared" si="11"/>
        <v>200</v>
      </c>
      <c r="EH41" s="257"/>
      <c r="EI41" s="257"/>
      <c r="EJ41" s="257">
        <f>$H$24</f>
        <v>50</v>
      </c>
    </row>
    <row r="42" spans="1:140" s="766" customFormat="1" ht="12.75">
      <c r="A42" s="498"/>
      <c r="B42" s="498"/>
      <c r="C42" s="498"/>
      <c r="D42" s="498"/>
      <c r="E42" s="498"/>
      <c r="F42" s="498"/>
      <c r="G42" s="498"/>
      <c r="H42" s="498"/>
      <c r="I42" s="498"/>
      <c r="J42" s="498"/>
      <c r="K42" s="498"/>
      <c r="L42" s="498"/>
      <c r="M42" s="498"/>
      <c r="N42" s="498"/>
      <c r="O42" s="498"/>
      <c r="P42" s="498"/>
      <c r="Q42" s="498"/>
      <c r="AA42" s="713"/>
      <c r="AB42" s="1021" t="s">
        <v>200</v>
      </c>
      <c r="AC42" s="1028"/>
      <c r="AD42" s="1027">
        <f>H25</f>
        <v>3</v>
      </c>
      <c r="AE42" s="1028">
        <f>H29</f>
        <v>12</v>
      </c>
      <c r="AF42" s="257"/>
      <c r="AG42" s="257"/>
      <c r="AH42" s="257">
        <f>$H$25</f>
        <v>3</v>
      </c>
      <c r="AI42" s="257">
        <f aca="true" t="shared" si="12" ref="AI42:CF42">$H$25</f>
        <v>3</v>
      </c>
      <c r="AJ42" s="257">
        <f t="shared" si="12"/>
        <v>3</v>
      </c>
      <c r="AK42" s="257">
        <f t="shared" si="12"/>
        <v>3</v>
      </c>
      <c r="AL42" s="257">
        <f t="shared" si="12"/>
        <v>3</v>
      </c>
      <c r="AM42" s="257">
        <f t="shared" si="12"/>
        <v>3</v>
      </c>
      <c r="AN42" s="257">
        <f t="shared" si="12"/>
        <v>3</v>
      </c>
      <c r="AO42" s="257">
        <f t="shared" si="12"/>
        <v>3</v>
      </c>
      <c r="AP42" s="257">
        <f t="shared" si="12"/>
        <v>3</v>
      </c>
      <c r="AQ42" s="257">
        <f t="shared" si="12"/>
        <v>3</v>
      </c>
      <c r="AR42" s="257">
        <f t="shared" si="12"/>
        <v>3</v>
      </c>
      <c r="AS42" s="257">
        <f t="shared" si="12"/>
        <v>3</v>
      </c>
      <c r="AT42" s="257">
        <f t="shared" si="12"/>
        <v>3</v>
      </c>
      <c r="AU42" s="257">
        <f t="shared" si="12"/>
        <v>3</v>
      </c>
      <c r="AV42" s="257">
        <f t="shared" si="12"/>
        <v>3</v>
      </c>
      <c r="AW42" s="257">
        <f t="shared" si="12"/>
        <v>3</v>
      </c>
      <c r="AX42" s="257">
        <f t="shared" si="12"/>
        <v>3</v>
      </c>
      <c r="AY42" s="257">
        <f t="shared" si="12"/>
        <v>3</v>
      </c>
      <c r="AZ42" s="257">
        <f t="shared" si="12"/>
        <v>3</v>
      </c>
      <c r="BA42" s="257">
        <f t="shared" si="12"/>
        <v>3</v>
      </c>
      <c r="BB42" s="257">
        <f t="shared" si="12"/>
        <v>3</v>
      </c>
      <c r="BC42" s="257">
        <f t="shared" si="12"/>
        <v>3</v>
      </c>
      <c r="BD42" s="257">
        <f t="shared" si="12"/>
        <v>3</v>
      </c>
      <c r="BE42" s="257">
        <f t="shared" si="12"/>
        <v>3</v>
      </c>
      <c r="BF42" s="257">
        <f t="shared" si="12"/>
        <v>3</v>
      </c>
      <c r="BG42" s="257">
        <f t="shared" si="12"/>
        <v>3</v>
      </c>
      <c r="BH42" s="257">
        <f t="shared" si="12"/>
        <v>3</v>
      </c>
      <c r="BI42" s="257">
        <f t="shared" si="12"/>
        <v>3</v>
      </c>
      <c r="BJ42" s="257">
        <f t="shared" si="12"/>
        <v>3</v>
      </c>
      <c r="BK42" s="257">
        <f t="shared" si="12"/>
        <v>3</v>
      </c>
      <c r="BL42" s="257">
        <f t="shared" si="12"/>
        <v>3</v>
      </c>
      <c r="BM42" s="257">
        <f t="shared" si="12"/>
        <v>3</v>
      </c>
      <c r="BN42" s="257">
        <f t="shared" si="12"/>
        <v>3</v>
      </c>
      <c r="BO42" s="257">
        <f t="shared" si="12"/>
        <v>3</v>
      </c>
      <c r="BP42" s="257">
        <f t="shared" si="12"/>
        <v>3</v>
      </c>
      <c r="BQ42" s="257">
        <f t="shared" si="12"/>
        <v>3</v>
      </c>
      <c r="BR42" s="257">
        <f t="shared" si="12"/>
        <v>3</v>
      </c>
      <c r="BS42" s="257">
        <f t="shared" si="12"/>
        <v>3</v>
      </c>
      <c r="BT42" s="257">
        <f t="shared" si="12"/>
        <v>3</v>
      </c>
      <c r="BU42" s="257">
        <f t="shared" si="12"/>
        <v>3</v>
      </c>
      <c r="BV42" s="257">
        <f t="shared" si="12"/>
        <v>3</v>
      </c>
      <c r="BW42" s="257">
        <f t="shared" si="12"/>
        <v>3</v>
      </c>
      <c r="BX42" s="257">
        <f t="shared" si="12"/>
        <v>3</v>
      </c>
      <c r="BY42" s="257">
        <f t="shared" si="12"/>
        <v>3</v>
      </c>
      <c r="BZ42" s="257">
        <f t="shared" si="12"/>
        <v>3</v>
      </c>
      <c r="CA42" s="257">
        <f t="shared" si="12"/>
        <v>3</v>
      </c>
      <c r="CB42" s="257">
        <f t="shared" si="12"/>
        <v>3</v>
      </c>
      <c r="CC42" s="257">
        <f t="shared" si="12"/>
        <v>3</v>
      </c>
      <c r="CD42" s="257">
        <f t="shared" si="12"/>
        <v>3</v>
      </c>
      <c r="CE42" s="257">
        <f t="shared" si="12"/>
        <v>3</v>
      </c>
      <c r="CF42" s="257">
        <f t="shared" si="12"/>
        <v>3</v>
      </c>
      <c r="CG42" s="257"/>
      <c r="CH42" s="257"/>
      <c r="CI42" s="257">
        <f>$H$29</f>
        <v>12</v>
      </c>
      <c r="CJ42" s="257">
        <f>$H$29</f>
        <v>12</v>
      </c>
      <c r="CK42" s="257">
        <f aca="true" t="shared" si="13" ref="CK42:EG42">$H$29</f>
        <v>12</v>
      </c>
      <c r="CL42" s="257">
        <f t="shared" si="13"/>
        <v>12</v>
      </c>
      <c r="CM42" s="257">
        <f t="shared" si="13"/>
        <v>12</v>
      </c>
      <c r="CN42" s="257">
        <f t="shared" si="13"/>
        <v>12</v>
      </c>
      <c r="CO42" s="257">
        <f t="shared" si="13"/>
        <v>12</v>
      </c>
      <c r="CP42" s="257">
        <f t="shared" si="13"/>
        <v>12</v>
      </c>
      <c r="CQ42" s="257">
        <f t="shared" si="13"/>
        <v>12</v>
      </c>
      <c r="CR42" s="257">
        <f t="shared" si="13"/>
        <v>12</v>
      </c>
      <c r="CS42" s="257">
        <f t="shared" si="13"/>
        <v>12</v>
      </c>
      <c r="CT42" s="257">
        <f t="shared" si="13"/>
        <v>12</v>
      </c>
      <c r="CU42" s="257">
        <f t="shared" si="13"/>
        <v>12</v>
      </c>
      <c r="CV42" s="257">
        <f t="shared" si="13"/>
        <v>12</v>
      </c>
      <c r="CW42" s="257">
        <f t="shared" si="13"/>
        <v>12</v>
      </c>
      <c r="CX42" s="257">
        <f t="shared" si="13"/>
        <v>12</v>
      </c>
      <c r="CY42" s="257">
        <f t="shared" si="13"/>
        <v>12</v>
      </c>
      <c r="CZ42" s="257">
        <f t="shared" si="13"/>
        <v>12</v>
      </c>
      <c r="DA42" s="257">
        <f t="shared" si="13"/>
        <v>12</v>
      </c>
      <c r="DB42" s="257">
        <f t="shared" si="13"/>
        <v>12</v>
      </c>
      <c r="DC42" s="257">
        <f t="shared" si="13"/>
        <v>12</v>
      </c>
      <c r="DD42" s="257">
        <f t="shared" si="13"/>
        <v>12</v>
      </c>
      <c r="DE42" s="257">
        <f t="shared" si="13"/>
        <v>12</v>
      </c>
      <c r="DF42" s="257">
        <f t="shared" si="13"/>
        <v>12</v>
      </c>
      <c r="DG42" s="257">
        <f t="shared" si="13"/>
        <v>12</v>
      </c>
      <c r="DH42" s="257">
        <f t="shared" si="13"/>
        <v>12</v>
      </c>
      <c r="DI42" s="257">
        <f t="shared" si="13"/>
        <v>12</v>
      </c>
      <c r="DJ42" s="257">
        <f t="shared" si="13"/>
        <v>12</v>
      </c>
      <c r="DK42" s="257">
        <f t="shared" si="13"/>
        <v>12</v>
      </c>
      <c r="DL42" s="257">
        <f t="shared" si="13"/>
        <v>12</v>
      </c>
      <c r="DM42" s="257">
        <f t="shared" si="13"/>
        <v>12</v>
      </c>
      <c r="DN42" s="257">
        <f t="shared" si="13"/>
        <v>12</v>
      </c>
      <c r="DO42" s="257">
        <f t="shared" si="13"/>
        <v>12</v>
      </c>
      <c r="DP42" s="257">
        <f t="shared" si="13"/>
        <v>12</v>
      </c>
      <c r="DQ42" s="257">
        <f t="shared" si="13"/>
        <v>12</v>
      </c>
      <c r="DR42" s="257">
        <f t="shared" si="13"/>
        <v>12</v>
      </c>
      <c r="DS42" s="257">
        <f t="shared" si="13"/>
        <v>12</v>
      </c>
      <c r="DT42" s="257">
        <f t="shared" si="13"/>
        <v>12</v>
      </c>
      <c r="DU42" s="257">
        <f t="shared" si="13"/>
        <v>12</v>
      </c>
      <c r="DV42" s="257">
        <f t="shared" si="13"/>
        <v>12</v>
      </c>
      <c r="DW42" s="257">
        <f t="shared" si="13"/>
        <v>12</v>
      </c>
      <c r="DX42" s="257">
        <f t="shared" si="13"/>
        <v>12</v>
      </c>
      <c r="DY42" s="257">
        <f t="shared" si="13"/>
        <v>12</v>
      </c>
      <c r="DZ42" s="257">
        <f t="shared" si="13"/>
        <v>12</v>
      </c>
      <c r="EA42" s="257">
        <f t="shared" si="13"/>
        <v>12</v>
      </c>
      <c r="EB42" s="257">
        <f t="shared" si="13"/>
        <v>12</v>
      </c>
      <c r="EC42" s="257">
        <f t="shared" si="13"/>
        <v>12</v>
      </c>
      <c r="ED42" s="257">
        <f t="shared" si="13"/>
        <v>12</v>
      </c>
      <c r="EE42" s="257">
        <f t="shared" si="13"/>
        <v>12</v>
      </c>
      <c r="EF42" s="257">
        <f t="shared" si="13"/>
        <v>12</v>
      </c>
      <c r="EG42" s="257">
        <f t="shared" si="13"/>
        <v>12</v>
      </c>
      <c r="EH42" s="257"/>
      <c r="EI42" s="257"/>
      <c r="EJ42" s="257">
        <f>$H$25</f>
        <v>3</v>
      </c>
    </row>
    <row r="43" spans="1:140" ht="12.75">
      <c r="A43" s="342"/>
      <c r="B43" s="342"/>
      <c r="C43" s="342"/>
      <c r="D43" s="342"/>
      <c r="E43" s="342"/>
      <c r="F43" s="342"/>
      <c r="G43" s="342"/>
      <c r="H43" s="342"/>
      <c r="I43" s="342"/>
      <c r="J43" s="342"/>
      <c r="K43" s="342"/>
      <c r="L43" s="342"/>
      <c r="M43" s="342"/>
      <c r="N43" s="342"/>
      <c r="O43" s="342"/>
      <c r="P43" s="342"/>
      <c r="Q43" s="342"/>
      <c r="AA43" s="713"/>
      <c r="AB43" s="1021" t="s">
        <v>123</v>
      </c>
      <c r="AC43" s="1029"/>
      <c r="AD43" s="1030">
        <v>1</v>
      </c>
      <c r="AE43" s="1029">
        <v>1</v>
      </c>
      <c r="AF43" s="1031"/>
      <c r="AG43" s="1031"/>
      <c r="AH43" s="1031">
        <v>1</v>
      </c>
      <c r="AI43" s="1031">
        <f>$AH$43</f>
        <v>1</v>
      </c>
      <c r="AJ43" s="1031">
        <f aca="true" t="shared" si="14" ref="AJ43:CU43">$AH$43</f>
        <v>1</v>
      </c>
      <c r="AK43" s="1031">
        <f t="shared" si="14"/>
        <v>1</v>
      </c>
      <c r="AL43" s="1031">
        <f t="shared" si="14"/>
        <v>1</v>
      </c>
      <c r="AM43" s="1031">
        <f t="shared" si="14"/>
        <v>1</v>
      </c>
      <c r="AN43" s="1031">
        <f t="shared" si="14"/>
        <v>1</v>
      </c>
      <c r="AO43" s="1031">
        <f t="shared" si="14"/>
        <v>1</v>
      </c>
      <c r="AP43" s="1031">
        <f t="shared" si="14"/>
        <v>1</v>
      </c>
      <c r="AQ43" s="1031">
        <f t="shared" si="14"/>
        <v>1</v>
      </c>
      <c r="AR43" s="1031">
        <f t="shared" si="14"/>
        <v>1</v>
      </c>
      <c r="AS43" s="1031">
        <f t="shared" si="14"/>
        <v>1</v>
      </c>
      <c r="AT43" s="1031">
        <f t="shared" si="14"/>
        <v>1</v>
      </c>
      <c r="AU43" s="1031">
        <f t="shared" si="14"/>
        <v>1</v>
      </c>
      <c r="AV43" s="1031">
        <f t="shared" si="14"/>
        <v>1</v>
      </c>
      <c r="AW43" s="1031">
        <f t="shared" si="14"/>
        <v>1</v>
      </c>
      <c r="AX43" s="1031">
        <f t="shared" si="14"/>
        <v>1</v>
      </c>
      <c r="AY43" s="1031">
        <f t="shared" si="14"/>
        <v>1</v>
      </c>
      <c r="AZ43" s="1031">
        <f t="shared" si="14"/>
        <v>1</v>
      </c>
      <c r="BA43" s="1031">
        <f t="shared" si="14"/>
        <v>1</v>
      </c>
      <c r="BB43" s="1031">
        <f t="shared" si="14"/>
        <v>1</v>
      </c>
      <c r="BC43" s="1031">
        <f t="shared" si="14"/>
        <v>1</v>
      </c>
      <c r="BD43" s="1031">
        <f t="shared" si="14"/>
        <v>1</v>
      </c>
      <c r="BE43" s="1031">
        <f t="shared" si="14"/>
        <v>1</v>
      </c>
      <c r="BF43" s="1031">
        <f t="shared" si="14"/>
        <v>1</v>
      </c>
      <c r="BG43" s="1031">
        <f t="shared" si="14"/>
        <v>1</v>
      </c>
      <c r="BH43" s="1031">
        <f t="shared" si="14"/>
        <v>1</v>
      </c>
      <c r="BI43" s="1031">
        <f t="shared" si="14"/>
        <v>1</v>
      </c>
      <c r="BJ43" s="1031">
        <f t="shared" si="14"/>
        <v>1</v>
      </c>
      <c r="BK43" s="1031">
        <f t="shared" si="14"/>
        <v>1</v>
      </c>
      <c r="BL43" s="1031">
        <f t="shared" si="14"/>
        <v>1</v>
      </c>
      <c r="BM43" s="1031">
        <f t="shared" si="14"/>
        <v>1</v>
      </c>
      <c r="BN43" s="1031">
        <f t="shared" si="14"/>
        <v>1</v>
      </c>
      <c r="BO43" s="1031">
        <f t="shared" si="14"/>
        <v>1</v>
      </c>
      <c r="BP43" s="1031">
        <f t="shared" si="14"/>
        <v>1</v>
      </c>
      <c r="BQ43" s="1031">
        <f t="shared" si="14"/>
        <v>1</v>
      </c>
      <c r="BR43" s="1031">
        <f t="shared" si="14"/>
        <v>1</v>
      </c>
      <c r="BS43" s="1031">
        <f t="shared" si="14"/>
        <v>1</v>
      </c>
      <c r="BT43" s="1031">
        <f t="shared" si="14"/>
        <v>1</v>
      </c>
      <c r="BU43" s="1031">
        <f>$AH$43</f>
        <v>1</v>
      </c>
      <c r="BV43" s="1031">
        <f t="shared" si="14"/>
        <v>1</v>
      </c>
      <c r="BW43" s="1031">
        <f t="shared" si="14"/>
        <v>1</v>
      </c>
      <c r="BX43" s="1031">
        <f t="shared" si="14"/>
        <v>1</v>
      </c>
      <c r="BY43" s="1031">
        <f t="shared" si="14"/>
        <v>1</v>
      </c>
      <c r="BZ43" s="1031">
        <f t="shared" si="14"/>
        <v>1</v>
      </c>
      <c r="CA43" s="1031">
        <f t="shared" si="14"/>
        <v>1</v>
      </c>
      <c r="CB43" s="1031">
        <f t="shared" si="14"/>
        <v>1</v>
      </c>
      <c r="CC43" s="1031">
        <f t="shared" si="14"/>
        <v>1</v>
      </c>
      <c r="CD43" s="1031">
        <f t="shared" si="14"/>
        <v>1</v>
      </c>
      <c r="CE43" s="1031">
        <f t="shared" si="14"/>
        <v>1</v>
      </c>
      <c r="CF43" s="1031">
        <f t="shared" si="14"/>
        <v>1</v>
      </c>
      <c r="CG43" s="1031"/>
      <c r="CH43" s="1031"/>
      <c r="CI43" s="1031">
        <f t="shared" si="14"/>
        <v>1</v>
      </c>
      <c r="CJ43" s="1031">
        <f t="shared" si="14"/>
        <v>1</v>
      </c>
      <c r="CK43" s="1031">
        <f t="shared" si="14"/>
        <v>1</v>
      </c>
      <c r="CL43" s="1031">
        <f t="shared" si="14"/>
        <v>1</v>
      </c>
      <c r="CM43" s="1031">
        <f t="shared" si="14"/>
        <v>1</v>
      </c>
      <c r="CN43" s="1031">
        <f t="shared" si="14"/>
        <v>1</v>
      </c>
      <c r="CO43" s="1031">
        <f t="shared" si="14"/>
        <v>1</v>
      </c>
      <c r="CP43" s="1031">
        <f t="shared" si="14"/>
        <v>1</v>
      </c>
      <c r="CQ43" s="1031">
        <f t="shared" si="14"/>
        <v>1</v>
      </c>
      <c r="CR43" s="1031">
        <f t="shared" si="14"/>
        <v>1</v>
      </c>
      <c r="CS43" s="1031">
        <f t="shared" si="14"/>
        <v>1</v>
      </c>
      <c r="CT43" s="1031">
        <f t="shared" si="14"/>
        <v>1</v>
      </c>
      <c r="CU43" s="1031">
        <f t="shared" si="14"/>
        <v>1</v>
      </c>
      <c r="CV43" s="1031">
        <f aca="true" t="shared" si="15" ref="CV43:EJ43">$AH$43</f>
        <v>1</v>
      </c>
      <c r="CW43" s="1031">
        <f t="shared" si="15"/>
        <v>1</v>
      </c>
      <c r="CX43" s="1031">
        <f t="shared" si="15"/>
        <v>1</v>
      </c>
      <c r="CY43" s="1031">
        <f t="shared" si="15"/>
        <v>1</v>
      </c>
      <c r="CZ43" s="1031">
        <f t="shared" si="15"/>
        <v>1</v>
      </c>
      <c r="DA43" s="1031">
        <f t="shared" si="15"/>
        <v>1</v>
      </c>
      <c r="DB43" s="1031">
        <f t="shared" si="15"/>
        <v>1</v>
      </c>
      <c r="DC43" s="1031">
        <f t="shared" si="15"/>
        <v>1</v>
      </c>
      <c r="DD43" s="1031">
        <f t="shared" si="15"/>
        <v>1</v>
      </c>
      <c r="DE43" s="1031">
        <f t="shared" si="15"/>
        <v>1</v>
      </c>
      <c r="DF43" s="1031">
        <f t="shared" si="15"/>
        <v>1</v>
      </c>
      <c r="DG43" s="1031">
        <f t="shared" si="15"/>
        <v>1</v>
      </c>
      <c r="DH43" s="1031">
        <f t="shared" si="15"/>
        <v>1</v>
      </c>
      <c r="DI43" s="1031">
        <f t="shared" si="15"/>
        <v>1</v>
      </c>
      <c r="DJ43" s="1031">
        <f t="shared" si="15"/>
        <v>1</v>
      </c>
      <c r="DK43" s="1031">
        <f t="shared" si="15"/>
        <v>1</v>
      </c>
      <c r="DL43" s="1031">
        <f t="shared" si="15"/>
        <v>1</v>
      </c>
      <c r="DM43" s="1031">
        <f t="shared" si="15"/>
        <v>1</v>
      </c>
      <c r="DN43" s="1031">
        <f t="shared" si="15"/>
        <v>1</v>
      </c>
      <c r="DO43" s="1031">
        <f t="shared" si="15"/>
        <v>1</v>
      </c>
      <c r="DP43" s="1031">
        <f t="shared" si="15"/>
        <v>1</v>
      </c>
      <c r="DQ43" s="1031">
        <f t="shared" si="15"/>
        <v>1</v>
      </c>
      <c r="DR43" s="1031">
        <f t="shared" si="15"/>
        <v>1</v>
      </c>
      <c r="DS43" s="1031">
        <f t="shared" si="15"/>
        <v>1</v>
      </c>
      <c r="DT43" s="1031">
        <f t="shared" si="15"/>
        <v>1</v>
      </c>
      <c r="DU43" s="1031">
        <f t="shared" si="15"/>
        <v>1</v>
      </c>
      <c r="DV43" s="1031">
        <f t="shared" si="15"/>
        <v>1</v>
      </c>
      <c r="DW43" s="1031">
        <f t="shared" si="15"/>
        <v>1</v>
      </c>
      <c r="DX43" s="1031">
        <f t="shared" si="15"/>
        <v>1</v>
      </c>
      <c r="DY43" s="1031">
        <f t="shared" si="15"/>
        <v>1</v>
      </c>
      <c r="DZ43" s="1031">
        <f t="shared" si="15"/>
        <v>1</v>
      </c>
      <c r="EA43" s="1031">
        <f t="shared" si="15"/>
        <v>1</v>
      </c>
      <c r="EB43" s="1031">
        <f t="shared" si="15"/>
        <v>1</v>
      </c>
      <c r="EC43" s="1031">
        <f t="shared" si="15"/>
        <v>1</v>
      </c>
      <c r="ED43" s="1031">
        <f t="shared" si="15"/>
        <v>1</v>
      </c>
      <c r="EE43" s="1031">
        <f t="shared" si="15"/>
        <v>1</v>
      </c>
      <c r="EF43" s="1031">
        <f t="shared" si="15"/>
        <v>1</v>
      </c>
      <c r="EG43" s="1031">
        <f t="shared" si="15"/>
        <v>1</v>
      </c>
      <c r="EH43" s="1031"/>
      <c r="EI43" s="1031"/>
      <c r="EJ43" s="1031">
        <f t="shared" si="15"/>
        <v>1</v>
      </c>
    </row>
    <row r="44" spans="1:140" ht="12.75">
      <c r="A44" s="342"/>
      <c r="B44" s="342"/>
      <c r="C44" s="342"/>
      <c r="D44" s="342"/>
      <c r="E44" s="342"/>
      <c r="F44" s="342"/>
      <c r="G44" s="342"/>
      <c r="H44" s="342"/>
      <c r="I44" s="342"/>
      <c r="J44" s="342"/>
      <c r="K44" s="342"/>
      <c r="L44" s="342"/>
      <c r="M44" s="342"/>
      <c r="N44" s="342"/>
      <c r="O44" s="342"/>
      <c r="P44" s="342"/>
      <c r="Q44" s="342"/>
      <c r="AA44" s="713"/>
      <c r="AB44" s="1021" t="s">
        <v>124</v>
      </c>
      <c r="AC44" s="1016"/>
      <c r="AD44" s="1032">
        <f>(AD$41-Vc*t_sim*erfcconst1_1)/erfcconst2_1</f>
        <v>-6.021518263062355</v>
      </c>
      <c r="AE44" s="1016">
        <f>(AE$41-Vc*t_sim*erfcconst1_1)/erfcconst2_1</f>
        <v>-5.5699382369928685</v>
      </c>
      <c r="AF44" s="1026"/>
      <c r="AG44" s="1026"/>
      <c r="AH44" s="1026">
        <f aca="true" t="shared" si="16" ref="AH44:BM44">(AH$41-Vc*AH40*AH37)/AH38</f>
        <v>28.922297186347595</v>
      </c>
      <c r="AI44" s="1026">
        <f t="shared" si="16"/>
        <v>0.19024348427379548</v>
      </c>
      <c r="AJ44" s="1026">
        <f t="shared" si="16"/>
        <v>-0.48241987348727056</v>
      </c>
      <c r="AK44" s="1026">
        <f t="shared" si="16"/>
        <v>-0.8977635978851525</v>
      </c>
      <c r="AL44" s="1026">
        <f t="shared" si="16"/>
        <v>-1.213879726618072</v>
      </c>
      <c r="AM44" s="1026">
        <f t="shared" si="16"/>
        <v>-1.4760600853338774</v>
      </c>
      <c r="AN44" s="1026">
        <f t="shared" si="16"/>
        <v>-1.7037809259700287</v>
      </c>
      <c r="AO44" s="1026">
        <f t="shared" si="16"/>
        <v>-1.907293379240543</v>
      </c>
      <c r="AP44" s="1026">
        <f t="shared" si="16"/>
        <v>-2.09270312869277</v>
      </c>
      <c r="AQ44" s="1026">
        <f t="shared" si="16"/>
        <v>-2.2639651599579516</v>
      </c>
      <c r="AR44" s="1026">
        <f t="shared" si="16"/>
        <v>-2.4238019196167953</v>
      </c>
      <c r="AS44" s="1026">
        <f t="shared" si="16"/>
        <v>-2.5741758076481087</v>
      </c>
      <c r="AT44" s="1026">
        <f t="shared" si="16"/>
        <v>-2.7165534006455827</v>
      </c>
      <c r="AU44" s="1026">
        <f t="shared" si="16"/>
        <v>-2.852063054812169</v>
      </c>
      <c r="AV44" s="1026">
        <f t="shared" si="16"/>
        <v>-2.981593890689185</v>
      </c>
      <c r="AW44" s="1026">
        <f t="shared" si="16"/>
        <v>-3.1058606446999986</v>
      </c>
      <c r="AX44" s="1026">
        <f t="shared" si="16"/>
        <v>-3.2254476818913105</v>
      </c>
      <c r="AY44" s="1026">
        <f t="shared" si="16"/>
        <v>-3.3408397712078637</v>
      </c>
      <c r="AZ44" s="1026">
        <f t="shared" si="16"/>
        <v>-3.4524441630122955</v>
      </c>
      <c r="BA44" s="1026">
        <f t="shared" si="16"/>
        <v>-3.560606782900241</v>
      </c>
      <c r="BB44" s="1026">
        <f t="shared" si="16"/>
        <v>-3.6656243432331044</v>
      </c>
      <c r="BC44" s="1026">
        <f t="shared" si="16"/>
        <v>-3.7677535584675</v>
      </c>
      <c r="BD44" s="1026">
        <f t="shared" si="16"/>
        <v>-3.8672182648107967</v>
      </c>
      <c r="BE44" s="1026">
        <f t="shared" si="16"/>
        <v>-3.964214996537992</v>
      </c>
      <c r="BF44" s="1026">
        <f t="shared" si="16"/>
        <v>-4.058917407637519</v>
      </c>
      <c r="BG44" s="1026">
        <f t="shared" si="16"/>
        <v>-4.151479817170751</v>
      </c>
      <c r="BH44" s="1026">
        <f t="shared" si="16"/>
        <v>-4.242040080958965</v>
      </c>
      <c r="BI44" s="1026">
        <f t="shared" si="16"/>
        <v>-4.330721939226377</v>
      </c>
      <c r="BJ44" s="1026">
        <f t="shared" si="16"/>
        <v>-4.417636952176793</v>
      </c>
      <c r="BK44" s="1026">
        <f t="shared" si="16"/>
        <v>-4.502886108331289</v>
      </c>
      <c r="BL44" s="1026">
        <f t="shared" si="16"/>
        <v>-4.586561170610815</v>
      </c>
      <c r="BM44" s="1026">
        <f t="shared" si="16"/>
        <v>-4.668745810463402</v>
      </c>
      <c r="BN44" s="1026">
        <f aca="true" t="shared" si="17" ref="BN44:CE44">(BN$41-Vc*BN40*BN37)/BN38</f>
        <v>-4.749516569343894</v>
      </c>
      <c r="BO44" s="1026">
        <f t="shared" si="17"/>
        <v>-4.828943678538529</v>
      </c>
      <c r="BP44" s="1026">
        <f t="shared" si="17"/>
        <v>-4.907091761973184</v>
      </c>
      <c r="BQ44" s="1026">
        <f t="shared" si="17"/>
        <v>-4.984020441744808</v>
      </c>
      <c r="BR44" s="1026">
        <f t="shared" si="17"/>
        <v>-5.0597848623050465</v>
      </c>
      <c r="BS44" s="1026">
        <f t="shared" si="17"/>
        <v>-5.134436146237421</v>
      </c>
      <c r="BT44" s="1026">
        <f t="shared" si="17"/>
        <v>-5.208021792209083</v>
      </c>
      <c r="BU44" s="1026">
        <f t="shared" si="17"/>
        <v>-5.28058602380032</v>
      </c>
      <c r="BV44" s="1026">
        <f t="shared" si="17"/>
        <v>-5.352170096410766</v>
      </c>
      <c r="BW44" s="1026">
        <f t="shared" si="17"/>
        <v>-5.422812568228881</v>
      </c>
      <c r="BX44" s="1026">
        <f t="shared" si="17"/>
        <v>-5.492549540268158</v>
      </c>
      <c r="BY44" s="1026">
        <f t="shared" si="17"/>
        <v>-5.561414869671793</v>
      </c>
      <c r="BZ44" s="1026">
        <f t="shared" si="17"/>
        <v>-5.629440359830418</v>
      </c>
      <c r="CA44" s="1026">
        <f t="shared" si="17"/>
        <v>-5.696655930315784</v>
      </c>
      <c r="CB44" s="1026">
        <f t="shared" si="17"/>
        <v>-5.763089769185052</v>
      </c>
      <c r="CC44" s="1026">
        <f t="shared" si="17"/>
        <v>-5.8287684698372155</v>
      </c>
      <c r="CD44" s="1026">
        <f t="shared" si="17"/>
        <v>-5.8937171542916955</v>
      </c>
      <c r="CE44" s="1026">
        <f t="shared" si="17"/>
        <v>-5.957959584497639</v>
      </c>
      <c r="CF44" s="1026">
        <f>(CF$41-Vc*CF40*CF37)/CF38</f>
        <v>-6.021518263062355</v>
      </c>
      <c r="CG44" s="1026"/>
      <c r="CH44" s="1026"/>
      <c r="CI44" s="1026">
        <f aca="true" t="shared" si="18" ref="CI44:DN44">(CI$41-Vc*CI40*CI37)/CI38</f>
        <v>115.78544954660907</v>
      </c>
      <c r="CJ44" s="1026">
        <f t="shared" si="18"/>
        <v>3.3812841837929573</v>
      </c>
      <c r="CK44" s="1026">
        <f t="shared" si="18"/>
        <v>1.7747483209836714</v>
      </c>
      <c r="CL44" s="1026">
        <f t="shared" si="18"/>
        <v>0.9454139576430971</v>
      </c>
      <c r="CM44" s="1026">
        <f t="shared" si="18"/>
        <v>0.3824487079983896</v>
      </c>
      <c r="CN44" s="1026">
        <f t="shared" si="18"/>
        <v>-0.04821230371976344</v>
      </c>
      <c r="CO44" s="1026">
        <f t="shared" si="18"/>
        <v>-0.40031084422163343</v>
      </c>
      <c r="CP44" s="1026">
        <f t="shared" si="18"/>
        <v>-0.7004951674110892</v>
      </c>
      <c r="CQ44" s="1026">
        <f t="shared" si="18"/>
        <v>-0.963833149426796</v>
      </c>
      <c r="CR44" s="1026">
        <f t="shared" si="18"/>
        <v>-1.1996463501287753</v>
      </c>
      <c r="CS44" s="1026">
        <f t="shared" si="18"/>
        <v>-1.4140928614372794</v>
      </c>
      <c r="CT44" s="1026">
        <f t="shared" si="18"/>
        <v>-1.611450081723929</v>
      </c>
      <c r="CU44" s="1026">
        <f t="shared" si="18"/>
        <v>-1.7948089755673748</v>
      </c>
      <c r="CV44" s="1026">
        <f t="shared" si="18"/>
        <v>-1.9664758210211448</v>
      </c>
      <c r="CW44" s="1026">
        <f t="shared" si="18"/>
        <v>-2.1282175113052055</v>
      </c>
      <c r="CX44" s="1026">
        <f t="shared" si="18"/>
        <v>-2.281418084236659</v>
      </c>
      <c r="CY44" s="1026">
        <f t="shared" si="18"/>
        <v>-2.427182358016494</v>
      </c>
      <c r="CZ44" s="1026">
        <f t="shared" si="18"/>
        <v>-2.5664067304622464</v>
      </c>
      <c r="DA44" s="1026">
        <f t="shared" si="18"/>
        <v>-2.6998288668605896</v>
      </c>
      <c r="DB44" s="1026">
        <f t="shared" si="18"/>
        <v>-2.8280633982729015</v>
      </c>
      <c r="DC44" s="1026">
        <f t="shared" si="18"/>
        <v>-2.9516281018743094</v>
      </c>
      <c r="DD44" s="1026">
        <f t="shared" si="18"/>
        <v>-3.0709634535228125</v>
      </c>
      <c r="DE44" s="1026">
        <f t="shared" si="18"/>
        <v>-3.1864474690753712</v>
      </c>
      <c r="DF44" s="1026">
        <f t="shared" si="18"/>
        <v>-3.298407134581942</v>
      </c>
      <c r="DG44" s="1026">
        <f t="shared" si="18"/>
        <v>-3.407127325509906</v>
      </c>
      <c r="DH44" s="1026">
        <f t="shared" si="18"/>
        <v>-3.5128578497747625</v>
      </c>
      <c r="DI44" s="1026">
        <f t="shared" si="18"/>
        <v>-3.615819069718604</v>
      </c>
      <c r="DJ44" s="1026">
        <f t="shared" si="18"/>
        <v>-3.716206434352986</v>
      </c>
      <c r="DK44" s="1026">
        <f t="shared" si="18"/>
        <v>-3.8141941664029435</v>
      </c>
      <c r="DL44" s="1026">
        <f t="shared" si="18"/>
        <v>-3.9099382869425443</v>
      </c>
      <c r="DM44" s="1026">
        <f t="shared" si="18"/>
        <v>-4.0035791158620615</v>
      </c>
      <c r="DN44" s="1026">
        <f t="shared" si="18"/>
        <v>-4.0952433538483355</v>
      </c>
      <c r="DO44" s="1026">
        <f aca="true" t="shared" si="19" ref="DO44:EE44">(DO$41-Vc*DO40*DO37)/DO38</f>
        <v>-4.185045827481163</v>
      </c>
      <c r="DP44" s="1026">
        <f t="shared" si="19"/>
        <v>-4.273090961043831</v>
      </c>
      <c r="DQ44" s="1026">
        <f t="shared" si="19"/>
        <v>-4.359474025044413</v>
      </c>
      <c r="DR44" s="1026">
        <f t="shared" si="19"/>
        <v>-4.4442822010706795</v>
      </c>
      <c r="DS44" s="1026">
        <f t="shared" si="19"/>
        <v>-4.527595494618448</v>
      </c>
      <c r="DT44" s="1026">
        <f t="shared" si="19"/>
        <v>-4.609487521338471</v>
      </c>
      <c r="DU44" s="1026">
        <f t="shared" si="19"/>
        <v>-4.690026187301832</v>
      </c>
      <c r="DV44" s="1026">
        <f t="shared" si="19"/>
        <v>-4.769274280066368</v>
      </c>
      <c r="DW44" s="1026">
        <f t="shared" si="19"/>
        <v>-4.847289984297689</v>
      </c>
      <c r="DX44" s="1026">
        <f t="shared" si="19"/>
        <v>-4.924127333279376</v>
      </c>
      <c r="DY44" s="1026">
        <f t="shared" si="19"/>
        <v>-4.999836605702897</v>
      </c>
      <c r="DZ44" s="1026">
        <f t="shared" si="19"/>
        <v>-5.074464675556291</v>
      </c>
      <c r="EA44" s="1026">
        <f t="shared" si="19"/>
        <v>-5.148055321653267</v>
      </c>
      <c r="EB44" s="1026">
        <f t="shared" si="19"/>
        <v>-5.220649502300349</v>
      </c>
      <c r="EC44" s="1026">
        <f t="shared" si="19"/>
        <v>-5.292285599742329</v>
      </c>
      <c r="ED44" s="1026">
        <f t="shared" si="19"/>
        <v>-5.362999638318622</v>
      </c>
      <c r="EE44" s="1026">
        <f t="shared" si="19"/>
        <v>-5.432825479676463</v>
      </c>
      <c r="EF44" s="1026">
        <f>(EF$41-Vc*EF40*EF37)/EF38</f>
        <v>-5.5017949978983784</v>
      </c>
      <c r="EG44" s="1026">
        <f>(EG$41-Vc*EG40*EG37)/EG38</f>
        <v>-5.5699382369928685</v>
      </c>
      <c r="EH44" s="1026"/>
      <c r="EI44" s="1026"/>
      <c r="EJ44" s="1026">
        <f>(EJ$41-Vc*EJ40*EJ37)/EJ38</f>
        <v>-9.719031635830111</v>
      </c>
    </row>
    <row r="45" spans="1:140" ht="12.75">
      <c r="A45" s="342"/>
      <c r="B45" s="342"/>
      <c r="C45" s="342"/>
      <c r="D45" s="342"/>
      <c r="E45" s="342"/>
      <c r="F45" s="342"/>
      <c r="G45" s="342"/>
      <c r="H45" s="342"/>
      <c r="I45" s="342"/>
      <c r="J45" s="342"/>
      <c r="K45" s="342"/>
      <c r="L45" s="342"/>
      <c r="M45" s="342"/>
      <c r="N45" s="342"/>
      <c r="O45" s="342"/>
      <c r="P45" s="342"/>
      <c r="Q45" s="342"/>
      <c r="AA45" s="713"/>
      <c r="AB45" s="1021" t="s">
        <v>125</v>
      </c>
      <c r="AC45" s="1029"/>
      <c r="AD45" s="1030">
        <f>gerfC(AD44)</f>
        <v>2</v>
      </c>
      <c r="AE45" s="1029">
        <f>gerfC(AE44)</f>
        <v>1.9999999999999967</v>
      </c>
      <c r="AF45" s="1031"/>
      <c r="AG45" s="1031"/>
      <c r="AH45" s="1031">
        <f aca="true" t="shared" si="20" ref="AH45:BM45">gerfC(AH44)</f>
        <v>0</v>
      </c>
      <c r="AI45" s="1031">
        <f t="shared" si="20"/>
        <v>0.7878951518044097</v>
      </c>
      <c r="AJ45" s="1031">
        <f t="shared" si="20"/>
        <v>1.5049158181451878</v>
      </c>
      <c r="AK45" s="1031">
        <f t="shared" si="20"/>
        <v>1.795783335564396</v>
      </c>
      <c r="AL45" s="1031">
        <f t="shared" si="20"/>
        <v>1.913963293270498</v>
      </c>
      <c r="AM45" s="1031">
        <f t="shared" si="20"/>
        <v>1.9631538087814682</v>
      </c>
      <c r="AN45" s="1031">
        <f t="shared" si="20"/>
        <v>1.9840260468901758</v>
      </c>
      <c r="AO45" s="1031">
        <f t="shared" si="20"/>
        <v>1.9930099972788269</v>
      </c>
      <c r="AP45" s="1031">
        <f t="shared" si="20"/>
        <v>1.9969189043767</v>
      </c>
      <c r="AQ45" s="1031">
        <f t="shared" si="20"/>
        <v>1.9986339513033347</v>
      </c>
      <c r="AR45" s="1031">
        <f t="shared" si="20"/>
        <v>1.9993914470934562</v>
      </c>
      <c r="AS45" s="1031">
        <f t="shared" si="20"/>
        <v>1.9997278214628174</v>
      </c>
      <c r="AT45" s="1031">
        <f t="shared" si="20"/>
        <v>1.9998778580120167</v>
      </c>
      <c r="AU45" s="1031">
        <f t="shared" si="20"/>
        <v>1.9999450305583553</v>
      </c>
      <c r="AV45" s="1031">
        <f t="shared" si="20"/>
        <v>1.999975199821328</v>
      </c>
      <c r="AW45" s="1031">
        <f t="shared" si="20"/>
        <v>1.9999887868130037</v>
      </c>
      <c r="AX45" s="1031">
        <f t="shared" si="20"/>
        <v>1.9999949203712728</v>
      </c>
      <c r="AY45" s="1031">
        <f t="shared" si="20"/>
        <v>1.9999976950035787</v>
      </c>
      <c r="AZ45" s="1031">
        <f t="shared" si="20"/>
        <v>1.999998952472314</v>
      </c>
      <c r="BA45" s="1031">
        <f t="shared" si="20"/>
        <v>1.9999995232933618</v>
      </c>
      <c r="BB45" s="1031">
        <f t="shared" si="20"/>
        <v>1.9999997827947154</v>
      </c>
      <c r="BC45" s="1031">
        <f t="shared" si="20"/>
        <v>1.9999999009227423</v>
      </c>
      <c r="BD45" s="1031">
        <f t="shared" si="20"/>
        <v>1.999999954760339</v>
      </c>
      <c r="BE45" s="1031">
        <f t="shared" si="20"/>
        <v>1.999999979323871</v>
      </c>
      <c r="BF45" s="1031">
        <f t="shared" si="20"/>
        <v>1.9999999905421828</v>
      </c>
      <c r="BG45" s="1031">
        <f t="shared" si="20"/>
        <v>1.9999999956703232</v>
      </c>
      <c r="BH45" s="1031">
        <f t="shared" si="20"/>
        <v>1.9999999980164769</v>
      </c>
      <c r="BI45" s="1031">
        <f t="shared" si="20"/>
        <v>1.9999999990906874</v>
      </c>
      <c r="BJ45" s="1031">
        <f t="shared" si="20"/>
        <v>1.999999999582878</v>
      </c>
      <c r="BK45" s="1031">
        <f t="shared" si="20"/>
        <v>1.9999999998085443</v>
      </c>
      <c r="BL45" s="1031">
        <f t="shared" si="20"/>
        <v>1.999999999912075</v>
      </c>
      <c r="BM45" s="1031">
        <f t="shared" si="20"/>
        <v>1.9999999999596</v>
      </c>
      <c r="BN45" s="1031">
        <f aca="true" t="shared" si="21" ref="BN45:CF45">gerfC(BN44)</f>
        <v>1.9999999999814282</v>
      </c>
      <c r="BO45" s="1031">
        <f t="shared" si="21"/>
        <v>1.9999999999914584</v>
      </c>
      <c r="BP45" s="1031">
        <f t="shared" si="21"/>
        <v>1.99999999999607</v>
      </c>
      <c r="BQ45" s="1031">
        <f t="shared" si="21"/>
        <v>1.999999999998191</v>
      </c>
      <c r="BR45" s="1031">
        <f t="shared" si="21"/>
        <v>1.9999999999991669</v>
      </c>
      <c r="BS45" s="1031">
        <f t="shared" si="21"/>
        <v>1.9999999999996163</v>
      </c>
      <c r="BT45" s="1031">
        <f t="shared" si="21"/>
        <v>1.9999999999998233</v>
      </c>
      <c r="BU45" s="1031">
        <f t="shared" si="21"/>
        <v>1.9999999999999185</v>
      </c>
      <c r="BV45" s="1031">
        <f t="shared" si="21"/>
        <v>1.9999999999999625</v>
      </c>
      <c r="BW45" s="1031">
        <f t="shared" si="21"/>
        <v>1.9999999999999827</v>
      </c>
      <c r="BX45" s="1031">
        <f t="shared" si="21"/>
        <v>1.999999999999992</v>
      </c>
      <c r="BY45" s="1031">
        <f t="shared" si="21"/>
        <v>1.9999999999999964</v>
      </c>
      <c r="BZ45" s="1031">
        <f t="shared" si="21"/>
        <v>1.9999999999999982</v>
      </c>
      <c r="CA45" s="1031">
        <f t="shared" si="21"/>
        <v>1.9999999999999991</v>
      </c>
      <c r="CB45" s="1031">
        <f t="shared" si="21"/>
        <v>1.9999999999999996</v>
      </c>
      <c r="CC45" s="1031">
        <f t="shared" si="21"/>
        <v>1.9999999999999998</v>
      </c>
      <c r="CD45" s="1031">
        <f t="shared" si="21"/>
        <v>2</v>
      </c>
      <c r="CE45" s="1031">
        <f t="shared" si="21"/>
        <v>2</v>
      </c>
      <c r="CF45" s="1031">
        <f t="shared" si="21"/>
        <v>2</v>
      </c>
      <c r="CG45" s="1031"/>
      <c r="CH45" s="1031"/>
      <c r="CI45" s="1031">
        <f aca="true" t="shared" si="22" ref="CI45:DN45">gerfC(CI44)</f>
        <v>0</v>
      </c>
      <c r="CJ45" s="1031">
        <f t="shared" si="22"/>
        <v>1.7368239856319079E-06</v>
      </c>
      <c r="CK45" s="1031">
        <f t="shared" si="22"/>
        <v>0.012077453264372373</v>
      </c>
      <c r="CL45" s="1031">
        <f t="shared" si="22"/>
        <v>0.181217018269478</v>
      </c>
      <c r="CM45" s="1031">
        <f t="shared" si="22"/>
        <v>0.5886011752307156</v>
      </c>
      <c r="CN45" s="1031">
        <f t="shared" si="22"/>
        <v>1.0543597176417467</v>
      </c>
      <c r="CO45" s="1031">
        <f t="shared" si="22"/>
        <v>1.4286912552791629</v>
      </c>
      <c r="CP45" s="1031">
        <f t="shared" si="22"/>
        <v>1.6781433576338347</v>
      </c>
      <c r="CQ45" s="1031">
        <f t="shared" si="22"/>
        <v>1.8271382534195446</v>
      </c>
      <c r="CR45" s="1031">
        <f t="shared" si="22"/>
        <v>1.91021939560374</v>
      </c>
      <c r="CS45" s="1031">
        <f t="shared" si="22"/>
        <v>1.9544813048930645</v>
      </c>
      <c r="CT45" s="1031">
        <f t="shared" si="22"/>
        <v>1.9773290463360547</v>
      </c>
      <c r="CU45" s="1031">
        <f t="shared" si="22"/>
        <v>1.9888589470746347</v>
      </c>
      <c r="CV45" s="1031">
        <f t="shared" si="22"/>
        <v>1.9945811063569918</v>
      </c>
      <c r="CW45" s="1031">
        <f t="shared" si="22"/>
        <v>1.9973854069000487</v>
      </c>
      <c r="CX45" s="1031">
        <f t="shared" si="22"/>
        <v>1.9987464739345104</v>
      </c>
      <c r="CY45" s="1031">
        <f t="shared" si="22"/>
        <v>1.9994020756152273</v>
      </c>
      <c r="CZ45" s="1031">
        <f t="shared" si="22"/>
        <v>1.9997159711624934</v>
      </c>
      <c r="DA45" s="1031">
        <f t="shared" si="22"/>
        <v>1.9998655354277646</v>
      </c>
      <c r="DB45" s="1031">
        <f t="shared" si="22"/>
        <v>1.9999365196884367</v>
      </c>
      <c r="DC45" s="1031">
        <f t="shared" si="22"/>
        <v>1.9999701007674284</v>
      </c>
      <c r="DD45" s="1031">
        <f t="shared" si="22"/>
        <v>1.9999859448683939</v>
      </c>
      <c r="DE45" s="1031">
        <f t="shared" si="22"/>
        <v>1.9999934037545963</v>
      </c>
      <c r="DF45" s="1031">
        <f t="shared" si="22"/>
        <v>1.9999969086039537</v>
      </c>
      <c r="DG45" s="1031">
        <f t="shared" si="22"/>
        <v>1.9999985529008741</v>
      </c>
      <c r="DH45" s="1031">
        <f t="shared" si="22"/>
        <v>1.9999993232904398</v>
      </c>
      <c r="DI45" s="1031">
        <f t="shared" si="22"/>
        <v>1.9999996838238574</v>
      </c>
      <c r="DJ45" s="1031">
        <f t="shared" si="22"/>
        <v>1.9999998523848048</v>
      </c>
      <c r="DK45" s="1031">
        <f t="shared" si="22"/>
        <v>1.9999999311264385</v>
      </c>
      <c r="DL45" s="1031">
        <f t="shared" si="22"/>
        <v>1.99999996788328</v>
      </c>
      <c r="DM45" s="1031">
        <f t="shared" si="22"/>
        <v>1.9999999850307808</v>
      </c>
      <c r="DN45" s="1031">
        <f t="shared" si="22"/>
        <v>1.999999993025967</v>
      </c>
      <c r="DO45" s="1031">
        <f aca="true" t="shared" si="23" ref="DO45:EG45">gerfC(DO44)</f>
        <v>1.9999999967520492</v>
      </c>
      <c r="DP45" s="1031">
        <f t="shared" si="23"/>
        <v>1.999999998487846</v>
      </c>
      <c r="DQ45" s="1031">
        <f t="shared" si="23"/>
        <v>1.9999999992961803</v>
      </c>
      <c r="DR45" s="1031">
        <f t="shared" si="23"/>
        <v>1.9999999996724926</v>
      </c>
      <c r="DS45" s="1031">
        <f t="shared" si="23"/>
        <v>1.9999999998476339</v>
      </c>
      <c r="DT45" s="1031">
        <f t="shared" si="23"/>
        <v>1.9999999999291278</v>
      </c>
      <c r="DU45" s="1031">
        <f t="shared" si="23"/>
        <v>1.9999999999670397</v>
      </c>
      <c r="DV45" s="1031">
        <f t="shared" si="23"/>
        <v>1.9999999999846731</v>
      </c>
      <c r="DW45" s="1031">
        <f t="shared" si="23"/>
        <v>1.999999999992874</v>
      </c>
      <c r="DX45" s="1031">
        <f t="shared" si="23"/>
        <v>1.999999999996687</v>
      </c>
      <c r="DY45" s="1031">
        <f t="shared" si="23"/>
        <v>1.99999999999846</v>
      </c>
      <c r="DZ45" s="1031">
        <f t="shared" si="23"/>
        <v>1.9999999999992841</v>
      </c>
      <c r="EA45" s="1031">
        <f t="shared" si="23"/>
        <v>1.9999999999996674</v>
      </c>
      <c r="EB45" s="1031">
        <f t="shared" si="23"/>
        <v>1.9999999999998455</v>
      </c>
      <c r="EC45" s="1031">
        <f t="shared" si="23"/>
        <v>1.999999999999928</v>
      </c>
      <c r="ED45" s="1031">
        <f t="shared" si="23"/>
        <v>1.9999999999999667</v>
      </c>
      <c r="EE45" s="1031">
        <f t="shared" si="23"/>
        <v>1.9999999999999845</v>
      </c>
      <c r="EF45" s="1031">
        <f t="shared" si="23"/>
        <v>1.999999999999993</v>
      </c>
      <c r="EG45" s="1031">
        <f t="shared" si="23"/>
        <v>1.9999999999999967</v>
      </c>
      <c r="EH45" s="1031"/>
      <c r="EI45" s="1031"/>
      <c r="EJ45" s="1031">
        <f>gerfC(EJ44)</f>
        <v>2</v>
      </c>
    </row>
    <row r="46" spans="1:140" ht="12.75">
      <c r="A46" s="342"/>
      <c r="B46" s="342"/>
      <c r="C46" s="342"/>
      <c r="D46" s="342"/>
      <c r="E46" s="342"/>
      <c r="F46" s="342"/>
      <c r="G46" s="342"/>
      <c r="H46" s="342"/>
      <c r="I46" s="342"/>
      <c r="J46" s="342"/>
      <c r="K46" s="342"/>
      <c r="L46" s="342"/>
      <c r="M46" s="342"/>
      <c r="N46" s="342"/>
      <c r="O46" s="342"/>
      <c r="P46" s="342"/>
      <c r="Q46" s="342"/>
      <c r="AA46" s="713"/>
      <c r="AB46" s="1021" t="s">
        <v>126</v>
      </c>
      <c r="AC46" s="1016"/>
      <c r="AD46" s="1032">
        <f>[0]!Z/2/(alpha.z*AD$41)^0.5</f>
        <v>2.2360679774997895E+49</v>
      </c>
      <c r="AE46" s="1016">
        <f>[0]!Z/2/(alpha.z*AE$41)^0.5</f>
        <v>1.1180339887498947E+49</v>
      </c>
      <c r="AF46" s="1033"/>
      <c r="AG46" s="1033"/>
      <c r="AH46" s="1033">
        <f>[0]!Z/2/(alpha.z*AH$41)^0.5</f>
        <v>2.2360679774997895E+49</v>
      </c>
      <c r="AI46" s="1033">
        <f>[0]!Z/2/(alpha.z*AI$41)^0.5</f>
        <v>2.2360679774997895E+49</v>
      </c>
      <c r="AJ46" s="1033">
        <f>[0]!Z/2/(alpha.z*AJ$41)^0.5</f>
        <v>2.2360679774997895E+49</v>
      </c>
      <c r="AK46" s="1033">
        <f>[0]!Z/2/(alpha.z*AK$41)^0.5</f>
        <v>2.2360679774997895E+49</v>
      </c>
      <c r="AL46" s="1033">
        <f>[0]!Z/2/(alpha.z*AL$41)^0.5</f>
        <v>2.2360679774997895E+49</v>
      </c>
      <c r="AM46" s="1033">
        <f>[0]!Z/2/(alpha.z*AM$41)^0.5</f>
        <v>2.2360679774997895E+49</v>
      </c>
      <c r="AN46" s="1033">
        <f>[0]!Z/2/(alpha.z*AN$41)^0.5</f>
        <v>2.2360679774997895E+49</v>
      </c>
      <c r="AO46" s="1033">
        <f>[0]!Z/2/(alpha.z*AO$41)^0.5</f>
        <v>2.2360679774997895E+49</v>
      </c>
      <c r="AP46" s="1033">
        <f>[0]!Z/2/(alpha.z*AP$41)^0.5</f>
        <v>2.2360679774997895E+49</v>
      </c>
      <c r="AQ46" s="1033">
        <f>[0]!Z/2/(alpha.z*AQ$41)^0.5</f>
        <v>2.2360679774997895E+49</v>
      </c>
      <c r="AR46" s="1033">
        <f>[0]!Z/2/(alpha.z*AR$41)^0.5</f>
        <v>2.2360679774997895E+49</v>
      </c>
      <c r="AS46" s="1033">
        <f>[0]!Z/2/(alpha.z*AS$41)^0.5</f>
        <v>2.2360679774997895E+49</v>
      </c>
      <c r="AT46" s="1033">
        <f>[0]!Z/2/(alpha.z*AT$41)^0.5</f>
        <v>2.2360679774997895E+49</v>
      </c>
      <c r="AU46" s="1033">
        <f>[0]!Z/2/(alpha.z*AU$41)^0.5</f>
        <v>2.2360679774997895E+49</v>
      </c>
      <c r="AV46" s="1033">
        <f>[0]!Z/2/(alpha.z*AV$41)^0.5</f>
        <v>2.2360679774997895E+49</v>
      </c>
      <c r="AW46" s="1033">
        <f>[0]!Z/2/(alpha.z*AW$41)^0.5</f>
        <v>2.2360679774997895E+49</v>
      </c>
      <c r="AX46" s="1033">
        <f>[0]!Z/2/(alpha.z*AX$41)^0.5</f>
        <v>2.2360679774997895E+49</v>
      </c>
      <c r="AY46" s="1033">
        <f>[0]!Z/2/(alpha.z*AY$41)^0.5</f>
        <v>2.2360679774997895E+49</v>
      </c>
      <c r="AZ46" s="1033">
        <f>[0]!Z/2/(alpha.z*AZ$41)^0.5</f>
        <v>2.2360679774997895E+49</v>
      </c>
      <c r="BA46" s="1033">
        <f>[0]!Z/2/(alpha.z*BA$41)^0.5</f>
        <v>2.2360679774997895E+49</v>
      </c>
      <c r="BB46" s="1033">
        <f>[0]!Z/2/(alpha.z*BB$41)^0.5</f>
        <v>2.2360679774997895E+49</v>
      </c>
      <c r="BC46" s="1033">
        <f>[0]!Z/2/(alpha.z*BC$41)^0.5</f>
        <v>2.2360679774997895E+49</v>
      </c>
      <c r="BD46" s="1033">
        <f>[0]!Z/2/(alpha.z*BD$41)^0.5</f>
        <v>2.2360679774997895E+49</v>
      </c>
      <c r="BE46" s="1033">
        <f>[0]!Z/2/(alpha.z*BE$41)^0.5</f>
        <v>2.2360679774997895E+49</v>
      </c>
      <c r="BF46" s="1033">
        <f>[0]!Z/2/(alpha.z*BF$41)^0.5</f>
        <v>2.2360679774997895E+49</v>
      </c>
      <c r="BG46" s="1033">
        <f>[0]!Z/2/(alpha.z*BG$41)^0.5</f>
        <v>2.2360679774997895E+49</v>
      </c>
      <c r="BH46" s="1033">
        <f>[0]!Z/2/(alpha.z*BH$41)^0.5</f>
        <v>2.2360679774997895E+49</v>
      </c>
      <c r="BI46" s="1033">
        <f>[0]!Z/2/(alpha.z*BI$41)^0.5</f>
        <v>2.2360679774997895E+49</v>
      </c>
      <c r="BJ46" s="1033">
        <f>[0]!Z/2/(alpha.z*BJ$41)^0.5</f>
        <v>2.2360679774997895E+49</v>
      </c>
      <c r="BK46" s="1033">
        <f>[0]!Z/2/(alpha.z*BK$41)^0.5</f>
        <v>2.2360679774997895E+49</v>
      </c>
      <c r="BL46" s="1033">
        <f>[0]!Z/2/(alpha.z*BL$41)^0.5</f>
        <v>2.2360679774997895E+49</v>
      </c>
      <c r="BM46" s="1033">
        <f>[0]!Z/2/(alpha.z*BM$41)^0.5</f>
        <v>2.2360679774997895E+49</v>
      </c>
      <c r="BN46" s="1033">
        <f>[0]!Z/2/(alpha.z*BN$41)^0.5</f>
        <v>2.2360679774997895E+49</v>
      </c>
      <c r="BO46" s="1033">
        <f>[0]!Z/2/(alpha.z*BO$41)^0.5</f>
        <v>2.2360679774997895E+49</v>
      </c>
      <c r="BP46" s="1033">
        <f>[0]!Z/2/(alpha.z*BP$41)^0.5</f>
        <v>2.2360679774997895E+49</v>
      </c>
      <c r="BQ46" s="1033">
        <f>[0]!Z/2/(alpha.z*BQ$41)^0.5</f>
        <v>2.2360679774997895E+49</v>
      </c>
      <c r="BR46" s="1033">
        <f>[0]!Z/2/(alpha.z*BR$41)^0.5</f>
        <v>2.2360679774997895E+49</v>
      </c>
      <c r="BS46" s="1033">
        <f>[0]!Z/2/(alpha.z*BS$41)^0.5</f>
        <v>2.2360679774997895E+49</v>
      </c>
      <c r="BT46" s="1033">
        <f>[0]!Z/2/(alpha.z*BT$41)^0.5</f>
        <v>2.2360679774997895E+49</v>
      </c>
      <c r="BU46" s="1033">
        <f>[0]!Z/2/(alpha.z*BU$41)^0.5</f>
        <v>2.2360679774997895E+49</v>
      </c>
      <c r="BV46" s="1033">
        <f>[0]!Z/2/(alpha.z*BV$41)^0.5</f>
        <v>2.2360679774997895E+49</v>
      </c>
      <c r="BW46" s="1033">
        <f>[0]!Z/2/(alpha.z*BW$41)^0.5</f>
        <v>2.2360679774997895E+49</v>
      </c>
      <c r="BX46" s="1033">
        <f>[0]!Z/2/(alpha.z*BX$41)^0.5</f>
        <v>2.2360679774997895E+49</v>
      </c>
      <c r="BY46" s="1033">
        <f>[0]!Z/2/(alpha.z*BY$41)^0.5</f>
        <v>2.2360679774997895E+49</v>
      </c>
      <c r="BZ46" s="1033">
        <f>[0]!Z/2/(alpha.z*BZ$41)^0.5</f>
        <v>2.2360679774997895E+49</v>
      </c>
      <c r="CA46" s="1033">
        <f>[0]!Z/2/(alpha.z*CA$41)^0.5</f>
        <v>2.2360679774997895E+49</v>
      </c>
      <c r="CB46" s="1033">
        <f>[0]!Z/2/(alpha.z*CB$41)^0.5</f>
        <v>2.2360679774997895E+49</v>
      </c>
      <c r="CC46" s="1033">
        <f>[0]!Z/2/(alpha.z*CC$41)^0.5</f>
        <v>2.2360679774997895E+49</v>
      </c>
      <c r="CD46" s="1033">
        <f>[0]!Z/2/(alpha.z*CD$41)^0.5</f>
        <v>2.2360679774997895E+49</v>
      </c>
      <c r="CE46" s="1033">
        <f>[0]!Z/2/(alpha.z*CE$41)^0.5</f>
        <v>2.2360679774997895E+49</v>
      </c>
      <c r="CF46" s="1033">
        <f>[0]!Z/2/(alpha.z*CF$41)^0.5</f>
        <v>2.2360679774997895E+49</v>
      </c>
      <c r="CG46" s="1033"/>
      <c r="CH46" s="1033"/>
      <c r="CI46" s="1033">
        <f>[0]!Z/2/(alpha.z*CI$41)^0.5</f>
        <v>1.1180339887498947E+49</v>
      </c>
      <c r="CJ46" s="1033">
        <f>[0]!Z/2/(alpha.z*CJ$41)^0.5</f>
        <v>1.1180339887498947E+49</v>
      </c>
      <c r="CK46" s="1033">
        <f>[0]!Z/2/(alpha.z*CK$41)^0.5</f>
        <v>1.1180339887498947E+49</v>
      </c>
      <c r="CL46" s="1033">
        <f>[0]!Z/2/(alpha.z*CL$41)^0.5</f>
        <v>1.1180339887498947E+49</v>
      </c>
      <c r="CM46" s="1033">
        <f>[0]!Z/2/(alpha.z*CM$41)^0.5</f>
        <v>1.1180339887498947E+49</v>
      </c>
      <c r="CN46" s="1033">
        <f>[0]!Z/2/(alpha.z*CN$41)^0.5</f>
        <v>1.1180339887498947E+49</v>
      </c>
      <c r="CO46" s="1033">
        <f>[0]!Z/2/(alpha.z*CO$41)^0.5</f>
        <v>1.1180339887498947E+49</v>
      </c>
      <c r="CP46" s="1033">
        <f>[0]!Z/2/(alpha.z*CP$41)^0.5</f>
        <v>1.1180339887498947E+49</v>
      </c>
      <c r="CQ46" s="1033">
        <f>[0]!Z/2/(alpha.z*CQ$41)^0.5</f>
        <v>1.1180339887498947E+49</v>
      </c>
      <c r="CR46" s="1033">
        <f>[0]!Z/2/(alpha.z*CR$41)^0.5</f>
        <v>1.1180339887498947E+49</v>
      </c>
      <c r="CS46" s="1033">
        <f>[0]!Z/2/(alpha.z*CS$41)^0.5</f>
        <v>1.1180339887498947E+49</v>
      </c>
      <c r="CT46" s="1033">
        <f>[0]!Z/2/(alpha.z*CT$41)^0.5</f>
        <v>1.1180339887498947E+49</v>
      </c>
      <c r="CU46" s="1033">
        <f>[0]!Z/2/(alpha.z*CU$41)^0.5</f>
        <v>1.1180339887498947E+49</v>
      </c>
      <c r="CV46" s="1033">
        <f>[0]!Z/2/(alpha.z*CV$41)^0.5</f>
        <v>1.1180339887498947E+49</v>
      </c>
      <c r="CW46" s="1033">
        <f>[0]!Z/2/(alpha.z*CW$41)^0.5</f>
        <v>1.1180339887498947E+49</v>
      </c>
      <c r="CX46" s="1033">
        <f>[0]!Z/2/(alpha.z*CX$41)^0.5</f>
        <v>1.1180339887498947E+49</v>
      </c>
      <c r="CY46" s="1033">
        <f>[0]!Z/2/(alpha.z*CY$41)^0.5</f>
        <v>1.1180339887498947E+49</v>
      </c>
      <c r="CZ46" s="1033">
        <f>[0]!Z/2/(alpha.z*CZ$41)^0.5</f>
        <v>1.1180339887498947E+49</v>
      </c>
      <c r="DA46" s="1033">
        <f>[0]!Z/2/(alpha.z*DA$41)^0.5</f>
        <v>1.1180339887498947E+49</v>
      </c>
      <c r="DB46" s="1033">
        <f>[0]!Z/2/(alpha.z*DB$41)^0.5</f>
        <v>1.1180339887498947E+49</v>
      </c>
      <c r="DC46" s="1033">
        <f>[0]!Z/2/(alpha.z*DC$41)^0.5</f>
        <v>1.1180339887498947E+49</v>
      </c>
      <c r="DD46" s="1033">
        <f>[0]!Z/2/(alpha.z*DD$41)^0.5</f>
        <v>1.1180339887498947E+49</v>
      </c>
      <c r="DE46" s="1033">
        <f>[0]!Z/2/(alpha.z*DE$41)^0.5</f>
        <v>1.1180339887498947E+49</v>
      </c>
      <c r="DF46" s="1033">
        <f>[0]!Z/2/(alpha.z*DF$41)^0.5</f>
        <v>1.1180339887498947E+49</v>
      </c>
      <c r="DG46" s="1033">
        <f>[0]!Z/2/(alpha.z*DG$41)^0.5</f>
        <v>1.1180339887498947E+49</v>
      </c>
      <c r="DH46" s="1033">
        <f>[0]!Z/2/(alpha.z*DH$41)^0.5</f>
        <v>1.1180339887498947E+49</v>
      </c>
      <c r="DI46" s="1033">
        <f>[0]!Z/2/(alpha.z*DI$41)^0.5</f>
        <v>1.1180339887498947E+49</v>
      </c>
      <c r="DJ46" s="1033">
        <f>[0]!Z/2/(alpha.z*DJ$41)^0.5</f>
        <v>1.1180339887498947E+49</v>
      </c>
      <c r="DK46" s="1033">
        <f>[0]!Z/2/(alpha.z*DK$41)^0.5</f>
        <v>1.1180339887498947E+49</v>
      </c>
      <c r="DL46" s="1033">
        <f>[0]!Z/2/(alpha.z*DL$41)^0.5</f>
        <v>1.1180339887498947E+49</v>
      </c>
      <c r="DM46" s="1033">
        <f>[0]!Z/2/(alpha.z*DM$41)^0.5</f>
        <v>1.1180339887498947E+49</v>
      </c>
      <c r="DN46" s="1033">
        <f>[0]!Z/2/(alpha.z*DN$41)^0.5</f>
        <v>1.1180339887498947E+49</v>
      </c>
      <c r="DO46" s="1033">
        <f>[0]!Z/2/(alpha.z*DO$41)^0.5</f>
        <v>1.1180339887498947E+49</v>
      </c>
      <c r="DP46" s="1033">
        <f>[0]!Z/2/(alpha.z*DP$41)^0.5</f>
        <v>1.1180339887498947E+49</v>
      </c>
      <c r="DQ46" s="1033">
        <f>[0]!Z/2/(alpha.z*DQ$41)^0.5</f>
        <v>1.1180339887498947E+49</v>
      </c>
      <c r="DR46" s="1033">
        <f>[0]!Z/2/(alpha.z*DR$41)^0.5</f>
        <v>1.1180339887498947E+49</v>
      </c>
      <c r="DS46" s="1033">
        <f>[0]!Z/2/(alpha.z*DS$41)^0.5</f>
        <v>1.1180339887498947E+49</v>
      </c>
      <c r="DT46" s="1033">
        <f>[0]!Z/2/(alpha.z*DT$41)^0.5</f>
        <v>1.1180339887498947E+49</v>
      </c>
      <c r="DU46" s="1033">
        <f>[0]!Z/2/(alpha.z*DU$41)^0.5</f>
        <v>1.1180339887498947E+49</v>
      </c>
      <c r="DV46" s="1033">
        <f>[0]!Z/2/(alpha.z*DV$41)^0.5</f>
        <v>1.1180339887498947E+49</v>
      </c>
      <c r="DW46" s="1033">
        <f>[0]!Z/2/(alpha.z*DW$41)^0.5</f>
        <v>1.1180339887498947E+49</v>
      </c>
      <c r="DX46" s="1033">
        <f>[0]!Z/2/(alpha.z*DX$41)^0.5</f>
        <v>1.1180339887498947E+49</v>
      </c>
      <c r="DY46" s="1033">
        <f>[0]!Z/2/(alpha.z*DY$41)^0.5</f>
        <v>1.1180339887498947E+49</v>
      </c>
      <c r="DZ46" s="1033">
        <f>[0]!Z/2/(alpha.z*DZ$41)^0.5</f>
        <v>1.1180339887498947E+49</v>
      </c>
      <c r="EA46" s="1033">
        <f>[0]!Z/2/(alpha.z*EA$41)^0.5</f>
        <v>1.1180339887498947E+49</v>
      </c>
      <c r="EB46" s="1033">
        <f>[0]!Z/2/(alpha.z*EB$41)^0.5</f>
        <v>1.1180339887498947E+49</v>
      </c>
      <c r="EC46" s="1033">
        <f>[0]!Z/2/(alpha.z*EC$41)^0.5</f>
        <v>1.1180339887498947E+49</v>
      </c>
      <c r="ED46" s="1033">
        <f>[0]!Z/2/(alpha.z*ED$41)^0.5</f>
        <v>1.1180339887498947E+49</v>
      </c>
      <c r="EE46" s="1033">
        <f>[0]!Z/2/(alpha.z*EE$41)^0.5</f>
        <v>1.1180339887498947E+49</v>
      </c>
      <c r="EF46" s="1033">
        <f>[0]!Z/2/(alpha.z*EF$41)^0.5</f>
        <v>1.1180339887498947E+49</v>
      </c>
      <c r="EG46" s="1033">
        <f>[0]!Z/2/(alpha.z*EG$41)^0.5</f>
        <v>1.1180339887498947E+49</v>
      </c>
      <c r="EH46" s="1033"/>
      <c r="EI46" s="1033"/>
      <c r="EJ46" s="1033">
        <f>[0]!Z/2/(alpha.z*EJ$41)^0.5</f>
        <v>2.2360679774997895E+49</v>
      </c>
    </row>
    <row r="47" spans="1:140" ht="12.75">
      <c r="A47" s="342"/>
      <c r="B47" s="342"/>
      <c r="C47" s="342"/>
      <c r="D47" s="342"/>
      <c r="E47" s="342"/>
      <c r="F47" s="342"/>
      <c r="G47" s="342"/>
      <c r="H47" s="342"/>
      <c r="I47" s="342"/>
      <c r="J47" s="342"/>
      <c r="K47" s="342"/>
      <c r="L47" s="342"/>
      <c r="M47" s="342"/>
      <c r="N47" s="342"/>
      <c r="O47" s="342"/>
      <c r="P47" s="342"/>
      <c r="Q47" s="342"/>
      <c r="AA47" s="713"/>
      <c r="AB47" s="1021" t="s">
        <v>127</v>
      </c>
      <c r="AC47" s="1029"/>
      <c r="AD47" s="1030">
        <f>2*gerf(AD46)</f>
        <v>2</v>
      </c>
      <c r="AE47" s="1029">
        <f>2*gerf(AE46)</f>
        <v>2</v>
      </c>
      <c r="AF47" s="1031"/>
      <c r="AG47" s="1031"/>
      <c r="AH47" s="1031">
        <f aca="true" t="shared" si="24" ref="AH47:BM47">2*gerf(AH46)</f>
        <v>2</v>
      </c>
      <c r="AI47" s="1031">
        <f t="shared" si="24"/>
        <v>2</v>
      </c>
      <c r="AJ47" s="1031">
        <f t="shared" si="24"/>
        <v>2</v>
      </c>
      <c r="AK47" s="1031">
        <f t="shared" si="24"/>
        <v>2</v>
      </c>
      <c r="AL47" s="1031">
        <f t="shared" si="24"/>
        <v>2</v>
      </c>
      <c r="AM47" s="1031">
        <f t="shared" si="24"/>
        <v>2</v>
      </c>
      <c r="AN47" s="1031">
        <f t="shared" si="24"/>
        <v>2</v>
      </c>
      <c r="AO47" s="1031">
        <f t="shared" si="24"/>
        <v>2</v>
      </c>
      <c r="AP47" s="1031">
        <f t="shared" si="24"/>
        <v>2</v>
      </c>
      <c r="AQ47" s="1031">
        <f t="shared" si="24"/>
        <v>2</v>
      </c>
      <c r="AR47" s="1031">
        <f t="shared" si="24"/>
        <v>2</v>
      </c>
      <c r="AS47" s="1031">
        <f t="shared" si="24"/>
        <v>2</v>
      </c>
      <c r="AT47" s="1031">
        <f t="shared" si="24"/>
        <v>2</v>
      </c>
      <c r="AU47" s="1031">
        <f t="shared" si="24"/>
        <v>2</v>
      </c>
      <c r="AV47" s="1031">
        <f t="shared" si="24"/>
        <v>2</v>
      </c>
      <c r="AW47" s="1031">
        <f t="shared" si="24"/>
        <v>2</v>
      </c>
      <c r="AX47" s="1031">
        <f t="shared" si="24"/>
        <v>2</v>
      </c>
      <c r="AY47" s="1031">
        <f t="shared" si="24"/>
        <v>2</v>
      </c>
      <c r="AZ47" s="1031">
        <f t="shared" si="24"/>
        <v>2</v>
      </c>
      <c r="BA47" s="1031">
        <f t="shared" si="24"/>
        <v>2</v>
      </c>
      <c r="BB47" s="1031">
        <f t="shared" si="24"/>
        <v>2</v>
      </c>
      <c r="BC47" s="1031">
        <f t="shared" si="24"/>
        <v>2</v>
      </c>
      <c r="BD47" s="1031">
        <f t="shared" si="24"/>
        <v>2</v>
      </c>
      <c r="BE47" s="1031">
        <f t="shared" si="24"/>
        <v>2</v>
      </c>
      <c r="BF47" s="1031">
        <f t="shared" si="24"/>
        <v>2</v>
      </c>
      <c r="BG47" s="1031">
        <f t="shared" si="24"/>
        <v>2</v>
      </c>
      <c r="BH47" s="1031">
        <f t="shared" si="24"/>
        <v>2</v>
      </c>
      <c r="BI47" s="1031">
        <f t="shared" si="24"/>
        <v>2</v>
      </c>
      <c r="BJ47" s="1031">
        <f t="shared" si="24"/>
        <v>2</v>
      </c>
      <c r="BK47" s="1031">
        <f t="shared" si="24"/>
        <v>2</v>
      </c>
      <c r="BL47" s="1031">
        <f t="shared" si="24"/>
        <v>2</v>
      </c>
      <c r="BM47" s="1031">
        <f t="shared" si="24"/>
        <v>2</v>
      </c>
      <c r="BN47" s="1031">
        <f aca="true" t="shared" si="25" ref="BN47:CF47">2*gerf(BN46)</f>
        <v>2</v>
      </c>
      <c r="BO47" s="1031">
        <f t="shared" si="25"/>
        <v>2</v>
      </c>
      <c r="BP47" s="1031">
        <f t="shared" si="25"/>
        <v>2</v>
      </c>
      <c r="BQ47" s="1031">
        <f t="shared" si="25"/>
        <v>2</v>
      </c>
      <c r="BR47" s="1031">
        <f t="shared" si="25"/>
        <v>2</v>
      </c>
      <c r="BS47" s="1031">
        <f t="shared" si="25"/>
        <v>2</v>
      </c>
      <c r="BT47" s="1031">
        <f t="shared" si="25"/>
        <v>2</v>
      </c>
      <c r="BU47" s="1031">
        <f t="shared" si="25"/>
        <v>2</v>
      </c>
      <c r="BV47" s="1031">
        <f t="shared" si="25"/>
        <v>2</v>
      </c>
      <c r="BW47" s="1031">
        <f t="shared" si="25"/>
        <v>2</v>
      </c>
      <c r="BX47" s="1031">
        <f t="shared" si="25"/>
        <v>2</v>
      </c>
      <c r="BY47" s="1031">
        <f t="shared" si="25"/>
        <v>2</v>
      </c>
      <c r="BZ47" s="1031">
        <f t="shared" si="25"/>
        <v>2</v>
      </c>
      <c r="CA47" s="1031">
        <f t="shared" si="25"/>
        <v>2</v>
      </c>
      <c r="CB47" s="1031">
        <f t="shared" si="25"/>
        <v>2</v>
      </c>
      <c r="CC47" s="1031">
        <f t="shared" si="25"/>
        <v>2</v>
      </c>
      <c r="CD47" s="1031">
        <f t="shared" si="25"/>
        <v>2</v>
      </c>
      <c r="CE47" s="1031">
        <f t="shared" si="25"/>
        <v>2</v>
      </c>
      <c r="CF47" s="1031">
        <f t="shared" si="25"/>
        <v>2</v>
      </c>
      <c r="CG47" s="1031"/>
      <c r="CH47" s="1031"/>
      <c r="CI47" s="1031">
        <f aca="true" t="shared" si="26" ref="CI47:DN47">2*gerf(CI46)</f>
        <v>2</v>
      </c>
      <c r="CJ47" s="1031">
        <f t="shared" si="26"/>
        <v>2</v>
      </c>
      <c r="CK47" s="1031">
        <f t="shared" si="26"/>
        <v>2</v>
      </c>
      <c r="CL47" s="1031">
        <f t="shared" si="26"/>
        <v>2</v>
      </c>
      <c r="CM47" s="1031">
        <f t="shared" si="26"/>
        <v>2</v>
      </c>
      <c r="CN47" s="1031">
        <f t="shared" si="26"/>
        <v>2</v>
      </c>
      <c r="CO47" s="1031">
        <f t="shared" si="26"/>
        <v>2</v>
      </c>
      <c r="CP47" s="1031">
        <f t="shared" si="26"/>
        <v>2</v>
      </c>
      <c r="CQ47" s="1031">
        <f t="shared" si="26"/>
        <v>2</v>
      </c>
      <c r="CR47" s="1031">
        <f t="shared" si="26"/>
        <v>2</v>
      </c>
      <c r="CS47" s="1031">
        <f t="shared" si="26"/>
        <v>2</v>
      </c>
      <c r="CT47" s="1031">
        <f t="shared" si="26"/>
        <v>2</v>
      </c>
      <c r="CU47" s="1031">
        <f t="shared" si="26"/>
        <v>2</v>
      </c>
      <c r="CV47" s="1031">
        <f t="shared" si="26"/>
        <v>2</v>
      </c>
      <c r="CW47" s="1031">
        <f t="shared" si="26"/>
        <v>2</v>
      </c>
      <c r="CX47" s="1031">
        <f t="shared" si="26"/>
        <v>2</v>
      </c>
      <c r="CY47" s="1031">
        <f t="shared" si="26"/>
        <v>2</v>
      </c>
      <c r="CZ47" s="1031">
        <f t="shared" si="26"/>
        <v>2</v>
      </c>
      <c r="DA47" s="1031">
        <f t="shared" si="26"/>
        <v>2</v>
      </c>
      <c r="DB47" s="1031">
        <f t="shared" si="26"/>
        <v>2</v>
      </c>
      <c r="DC47" s="1031">
        <f t="shared" si="26"/>
        <v>2</v>
      </c>
      <c r="DD47" s="1031">
        <f t="shared" si="26"/>
        <v>2</v>
      </c>
      <c r="DE47" s="1031">
        <f t="shared" si="26"/>
        <v>2</v>
      </c>
      <c r="DF47" s="1031">
        <f t="shared" si="26"/>
        <v>2</v>
      </c>
      <c r="DG47" s="1031">
        <f t="shared" si="26"/>
        <v>2</v>
      </c>
      <c r="DH47" s="1031">
        <f t="shared" si="26"/>
        <v>2</v>
      </c>
      <c r="DI47" s="1031">
        <f t="shared" si="26"/>
        <v>2</v>
      </c>
      <c r="DJ47" s="1031">
        <f t="shared" si="26"/>
        <v>2</v>
      </c>
      <c r="DK47" s="1031">
        <f t="shared" si="26"/>
        <v>2</v>
      </c>
      <c r="DL47" s="1031">
        <f t="shared" si="26"/>
        <v>2</v>
      </c>
      <c r="DM47" s="1031">
        <f t="shared" si="26"/>
        <v>2</v>
      </c>
      <c r="DN47" s="1031">
        <f t="shared" si="26"/>
        <v>2</v>
      </c>
      <c r="DO47" s="1031">
        <f aca="true" t="shared" si="27" ref="DO47:EG47">2*gerf(DO46)</f>
        <v>2</v>
      </c>
      <c r="DP47" s="1031">
        <f t="shared" si="27"/>
        <v>2</v>
      </c>
      <c r="DQ47" s="1031">
        <f t="shared" si="27"/>
        <v>2</v>
      </c>
      <c r="DR47" s="1031">
        <f t="shared" si="27"/>
        <v>2</v>
      </c>
      <c r="DS47" s="1031">
        <f t="shared" si="27"/>
        <v>2</v>
      </c>
      <c r="DT47" s="1031">
        <f t="shared" si="27"/>
        <v>2</v>
      </c>
      <c r="DU47" s="1031">
        <f t="shared" si="27"/>
        <v>2</v>
      </c>
      <c r="DV47" s="1031">
        <f t="shared" si="27"/>
        <v>2</v>
      </c>
      <c r="DW47" s="1031">
        <f t="shared" si="27"/>
        <v>2</v>
      </c>
      <c r="DX47" s="1031">
        <f t="shared" si="27"/>
        <v>2</v>
      </c>
      <c r="DY47" s="1031">
        <f t="shared" si="27"/>
        <v>2</v>
      </c>
      <c r="DZ47" s="1031">
        <f t="shared" si="27"/>
        <v>2</v>
      </c>
      <c r="EA47" s="1031">
        <f t="shared" si="27"/>
        <v>2</v>
      </c>
      <c r="EB47" s="1031">
        <f t="shared" si="27"/>
        <v>2</v>
      </c>
      <c r="EC47" s="1031">
        <f t="shared" si="27"/>
        <v>2</v>
      </c>
      <c r="ED47" s="1031">
        <f t="shared" si="27"/>
        <v>2</v>
      </c>
      <c r="EE47" s="1031">
        <f t="shared" si="27"/>
        <v>2</v>
      </c>
      <c r="EF47" s="1031">
        <f t="shared" si="27"/>
        <v>2</v>
      </c>
      <c r="EG47" s="1031">
        <f t="shared" si="27"/>
        <v>2</v>
      </c>
      <c r="EH47" s="1031"/>
      <c r="EI47" s="1031"/>
      <c r="EJ47" s="1031">
        <f>2*gerf(EJ46)</f>
        <v>2</v>
      </c>
    </row>
    <row r="48" spans="1:140" ht="12.75">
      <c r="A48" s="342"/>
      <c r="B48" s="342"/>
      <c r="C48" s="342"/>
      <c r="D48" s="342"/>
      <c r="E48" s="342"/>
      <c r="F48" s="342"/>
      <c r="G48" s="342"/>
      <c r="H48" s="342"/>
      <c r="I48" s="342"/>
      <c r="J48" s="342"/>
      <c r="K48" s="342"/>
      <c r="L48" s="342"/>
      <c r="M48" s="342"/>
      <c r="N48" s="342"/>
      <c r="O48" s="342"/>
      <c r="P48" s="342"/>
      <c r="Q48" s="342"/>
      <c r="AA48" s="713"/>
      <c r="AB48" s="1021" t="s">
        <v>128</v>
      </c>
      <c r="AC48" s="1016"/>
      <c r="AD48" s="1032">
        <f>gerf((AD$42+Y.1/2)/(2*(alpha.y*AD$41)^0.5))-gerf((AD$42-Y.1/2)/(2*(alpha.y*AD$41)^0.5))</f>
        <v>2</v>
      </c>
      <c r="AE48" s="1016">
        <f>gerf((AE$42+Y.1/2)/(2*(alpha.y*AE$41)^0.5))-gerf((AE$42-Y.1/2)/(2*(alpha.y*AE$41)^0.5))</f>
        <v>1.9999988859206468</v>
      </c>
      <c r="AF48" s="1026"/>
      <c r="AG48" s="1026"/>
      <c r="AH48" s="1026">
        <f aca="true" t="shared" si="28" ref="AH48:BM48">gerf((AH$42+Y.1/2)/(2*(alpha.y*AH$41)^0.5))-gerf((AH$42-Y.1/2)/(2*(alpha.y*AH$41)^0.5))</f>
        <v>2</v>
      </c>
      <c r="AI48" s="1026">
        <f t="shared" si="28"/>
        <v>2</v>
      </c>
      <c r="AJ48" s="1026">
        <f t="shared" si="28"/>
        <v>2</v>
      </c>
      <c r="AK48" s="1026">
        <f t="shared" si="28"/>
        <v>2</v>
      </c>
      <c r="AL48" s="1026">
        <f t="shared" si="28"/>
        <v>2</v>
      </c>
      <c r="AM48" s="1026">
        <f t="shared" si="28"/>
        <v>2</v>
      </c>
      <c r="AN48" s="1026">
        <f t="shared" si="28"/>
        <v>2</v>
      </c>
      <c r="AO48" s="1026">
        <f t="shared" si="28"/>
        <v>2</v>
      </c>
      <c r="AP48" s="1026">
        <f t="shared" si="28"/>
        <v>2</v>
      </c>
      <c r="AQ48" s="1026">
        <f t="shared" si="28"/>
        <v>2</v>
      </c>
      <c r="AR48" s="1026">
        <f t="shared" si="28"/>
        <v>2</v>
      </c>
      <c r="AS48" s="1026">
        <f t="shared" si="28"/>
        <v>2</v>
      </c>
      <c r="AT48" s="1026">
        <f t="shared" si="28"/>
        <v>2</v>
      </c>
      <c r="AU48" s="1026">
        <f t="shared" si="28"/>
        <v>2</v>
      </c>
      <c r="AV48" s="1026">
        <f t="shared" si="28"/>
        <v>2</v>
      </c>
      <c r="AW48" s="1026">
        <f t="shared" si="28"/>
        <v>2</v>
      </c>
      <c r="AX48" s="1026">
        <f t="shared" si="28"/>
        <v>2</v>
      </c>
      <c r="AY48" s="1026">
        <f t="shared" si="28"/>
        <v>2</v>
      </c>
      <c r="AZ48" s="1026">
        <f t="shared" si="28"/>
        <v>2</v>
      </c>
      <c r="BA48" s="1026">
        <f t="shared" si="28"/>
        <v>2</v>
      </c>
      <c r="BB48" s="1026">
        <f t="shared" si="28"/>
        <v>2</v>
      </c>
      <c r="BC48" s="1026">
        <f t="shared" si="28"/>
        <v>2</v>
      </c>
      <c r="BD48" s="1026">
        <f t="shared" si="28"/>
        <v>2</v>
      </c>
      <c r="BE48" s="1026">
        <f t="shared" si="28"/>
        <v>2</v>
      </c>
      <c r="BF48" s="1026">
        <f t="shared" si="28"/>
        <v>2</v>
      </c>
      <c r="BG48" s="1026">
        <f t="shared" si="28"/>
        <v>2</v>
      </c>
      <c r="BH48" s="1026">
        <f t="shared" si="28"/>
        <v>2</v>
      </c>
      <c r="BI48" s="1026">
        <f t="shared" si="28"/>
        <v>2</v>
      </c>
      <c r="BJ48" s="1026">
        <f t="shared" si="28"/>
        <v>2</v>
      </c>
      <c r="BK48" s="1026">
        <f t="shared" si="28"/>
        <v>2</v>
      </c>
      <c r="BL48" s="1026">
        <f t="shared" si="28"/>
        <v>2</v>
      </c>
      <c r="BM48" s="1026">
        <f t="shared" si="28"/>
        <v>2</v>
      </c>
      <c r="BN48" s="1026">
        <f aca="true" t="shared" si="29" ref="BN48:CF48">gerf((BN$42+Y.1/2)/(2*(alpha.y*BN$41)^0.5))-gerf((BN$42-Y.1/2)/(2*(alpha.y*BN$41)^0.5))</f>
        <v>2</v>
      </c>
      <c r="BO48" s="1026">
        <f t="shared" si="29"/>
        <v>2</v>
      </c>
      <c r="BP48" s="1026">
        <f t="shared" si="29"/>
        <v>2</v>
      </c>
      <c r="BQ48" s="1026">
        <f t="shared" si="29"/>
        <v>2</v>
      </c>
      <c r="BR48" s="1026">
        <f t="shared" si="29"/>
        <v>2</v>
      </c>
      <c r="BS48" s="1026">
        <f t="shared" si="29"/>
        <v>2</v>
      </c>
      <c r="BT48" s="1026">
        <f t="shared" si="29"/>
        <v>2</v>
      </c>
      <c r="BU48" s="1026">
        <f t="shared" si="29"/>
        <v>2</v>
      </c>
      <c r="BV48" s="1026">
        <f t="shared" si="29"/>
        <v>2</v>
      </c>
      <c r="BW48" s="1026">
        <f t="shared" si="29"/>
        <v>2</v>
      </c>
      <c r="BX48" s="1026">
        <f t="shared" si="29"/>
        <v>2</v>
      </c>
      <c r="BY48" s="1026">
        <f t="shared" si="29"/>
        <v>2</v>
      </c>
      <c r="BZ48" s="1026">
        <f t="shared" si="29"/>
        <v>2</v>
      </c>
      <c r="CA48" s="1026">
        <f t="shared" si="29"/>
        <v>2</v>
      </c>
      <c r="CB48" s="1026">
        <f t="shared" si="29"/>
        <v>2</v>
      </c>
      <c r="CC48" s="1026">
        <f t="shared" si="29"/>
        <v>2</v>
      </c>
      <c r="CD48" s="1026">
        <f t="shared" si="29"/>
        <v>2</v>
      </c>
      <c r="CE48" s="1026">
        <f t="shared" si="29"/>
        <v>2</v>
      </c>
      <c r="CF48" s="1026">
        <f t="shared" si="29"/>
        <v>2</v>
      </c>
      <c r="CG48" s="1026"/>
      <c r="CH48" s="1026"/>
      <c r="CI48" s="1026">
        <f aca="true" t="shared" si="30" ref="CI48:DN48">gerf((CI$42+Y.1/2)/(2*(alpha.y*CI$41)^0.5))-gerf((CI$42-Y.1/2)/(2*(alpha.y*CI$41)^0.5))</f>
        <v>1.9999988859206468</v>
      </c>
      <c r="CJ48" s="1026">
        <f t="shared" si="30"/>
        <v>1.9999988859206468</v>
      </c>
      <c r="CK48" s="1026">
        <f t="shared" si="30"/>
        <v>1.9999988859206468</v>
      </c>
      <c r="CL48" s="1026">
        <f t="shared" si="30"/>
        <v>1.9999988859206468</v>
      </c>
      <c r="CM48" s="1026">
        <f t="shared" si="30"/>
        <v>1.9999988859206468</v>
      </c>
      <c r="CN48" s="1026">
        <f t="shared" si="30"/>
        <v>1.9999988859206468</v>
      </c>
      <c r="CO48" s="1026">
        <f t="shared" si="30"/>
        <v>1.9999988859206468</v>
      </c>
      <c r="CP48" s="1026">
        <f t="shared" si="30"/>
        <v>1.9999988859206468</v>
      </c>
      <c r="CQ48" s="1026">
        <f t="shared" si="30"/>
        <v>1.9999988859206468</v>
      </c>
      <c r="CR48" s="1026">
        <f t="shared" si="30"/>
        <v>1.9999988859206468</v>
      </c>
      <c r="CS48" s="1026">
        <f t="shared" si="30"/>
        <v>1.9999988859206468</v>
      </c>
      <c r="CT48" s="1026">
        <f t="shared" si="30"/>
        <v>1.9999988859206468</v>
      </c>
      <c r="CU48" s="1026">
        <f t="shared" si="30"/>
        <v>1.9999988859206468</v>
      </c>
      <c r="CV48" s="1026">
        <f t="shared" si="30"/>
        <v>1.9999988859206468</v>
      </c>
      <c r="CW48" s="1026">
        <f t="shared" si="30"/>
        <v>1.9999988859206468</v>
      </c>
      <c r="CX48" s="1026">
        <f t="shared" si="30"/>
        <v>1.9999988859206468</v>
      </c>
      <c r="CY48" s="1026">
        <f t="shared" si="30"/>
        <v>1.9999988859206468</v>
      </c>
      <c r="CZ48" s="1026">
        <f t="shared" si="30"/>
        <v>1.9999988859206468</v>
      </c>
      <c r="DA48" s="1026">
        <f t="shared" si="30"/>
        <v>1.9999988859206468</v>
      </c>
      <c r="DB48" s="1026">
        <f t="shared" si="30"/>
        <v>1.9999988859206468</v>
      </c>
      <c r="DC48" s="1026">
        <f t="shared" si="30"/>
        <v>1.9999988859206468</v>
      </c>
      <c r="DD48" s="1026">
        <f t="shared" si="30"/>
        <v>1.9999988859206468</v>
      </c>
      <c r="DE48" s="1026">
        <f t="shared" si="30"/>
        <v>1.9999988859206468</v>
      </c>
      <c r="DF48" s="1026">
        <f t="shared" si="30"/>
        <v>1.9999988859206468</v>
      </c>
      <c r="DG48" s="1026">
        <f t="shared" si="30"/>
        <v>1.9999988859206468</v>
      </c>
      <c r="DH48" s="1026">
        <f t="shared" si="30"/>
        <v>1.9999988859206468</v>
      </c>
      <c r="DI48" s="1026">
        <f t="shared" si="30"/>
        <v>1.9999988859206468</v>
      </c>
      <c r="DJ48" s="1026">
        <f t="shared" si="30"/>
        <v>1.9999988859206468</v>
      </c>
      <c r="DK48" s="1026">
        <f t="shared" si="30"/>
        <v>1.9999988859206468</v>
      </c>
      <c r="DL48" s="1026">
        <f t="shared" si="30"/>
        <v>1.9999988859206468</v>
      </c>
      <c r="DM48" s="1026">
        <f t="shared" si="30"/>
        <v>1.9999988859206468</v>
      </c>
      <c r="DN48" s="1026">
        <f t="shared" si="30"/>
        <v>1.9999988859206468</v>
      </c>
      <c r="DO48" s="1026">
        <f aca="true" t="shared" si="31" ref="DO48:EJ48">gerf((DO$42+Y.1/2)/(2*(alpha.y*DO$41)^0.5))-gerf((DO$42-Y.1/2)/(2*(alpha.y*DO$41)^0.5))</f>
        <v>1.9999988859206468</v>
      </c>
      <c r="DP48" s="1026">
        <f t="shared" si="31"/>
        <v>1.9999988859206468</v>
      </c>
      <c r="DQ48" s="1026">
        <f t="shared" si="31"/>
        <v>1.9999988859206468</v>
      </c>
      <c r="DR48" s="1026">
        <f t="shared" si="31"/>
        <v>1.9999988859206468</v>
      </c>
      <c r="DS48" s="1026">
        <f t="shared" si="31"/>
        <v>1.9999988859206468</v>
      </c>
      <c r="DT48" s="1026">
        <f t="shared" si="31"/>
        <v>1.9999988859206468</v>
      </c>
      <c r="DU48" s="1026">
        <f t="shared" si="31"/>
        <v>1.9999988859206468</v>
      </c>
      <c r="DV48" s="1026">
        <f t="shared" si="31"/>
        <v>1.9999988859206468</v>
      </c>
      <c r="DW48" s="1026">
        <f t="shared" si="31"/>
        <v>1.9999988859206468</v>
      </c>
      <c r="DX48" s="1026">
        <f t="shared" si="31"/>
        <v>1.9999988859206468</v>
      </c>
      <c r="DY48" s="1026">
        <f t="shared" si="31"/>
        <v>1.9999988859206468</v>
      </c>
      <c r="DZ48" s="1026">
        <f t="shared" si="31"/>
        <v>1.9999988859206468</v>
      </c>
      <c r="EA48" s="1026">
        <f t="shared" si="31"/>
        <v>1.9999988859206468</v>
      </c>
      <c r="EB48" s="1026">
        <f t="shared" si="31"/>
        <v>1.9999988859206468</v>
      </c>
      <c r="EC48" s="1026">
        <f t="shared" si="31"/>
        <v>1.9999988859206468</v>
      </c>
      <c r="ED48" s="1026">
        <f t="shared" si="31"/>
        <v>1.9999988859206468</v>
      </c>
      <c r="EE48" s="1026">
        <f t="shared" si="31"/>
        <v>1.9999988859206468</v>
      </c>
      <c r="EF48" s="1026">
        <f t="shared" si="31"/>
        <v>1.9999988859206468</v>
      </c>
      <c r="EG48" s="1026">
        <f>gerf((EG$42+Y.1/2)/(2*(alpha.y*EG$41)^0.5))-gerf((EG$42-Y.1/2)/(2*(alpha.y*EG$41)^0.5))</f>
        <v>1.9999988859206468</v>
      </c>
      <c r="EH48" s="1026"/>
      <c r="EI48" s="1026"/>
      <c r="EJ48" s="1026">
        <f t="shared" si="31"/>
        <v>2</v>
      </c>
    </row>
    <row r="49" spans="1:140" ht="12.75">
      <c r="A49" s="342"/>
      <c r="B49" s="342"/>
      <c r="C49" s="342"/>
      <c r="D49" s="342"/>
      <c r="E49" s="342"/>
      <c r="F49" s="342"/>
      <c r="G49" s="342"/>
      <c r="H49" s="342"/>
      <c r="I49" s="342"/>
      <c r="J49" s="342"/>
      <c r="K49" s="342"/>
      <c r="L49" s="342"/>
      <c r="M49" s="342"/>
      <c r="N49" s="342"/>
      <c r="O49" s="342"/>
      <c r="P49" s="342"/>
      <c r="Q49" s="342"/>
      <c r="AA49" s="713"/>
      <c r="AB49" s="1021" t="s">
        <v>51</v>
      </c>
      <c r="AC49" s="1016"/>
      <c r="AD49" s="1032">
        <f>gerf((AD$42+Y.2/2)/(2*(alpha.y*AD$41)^0.5))-gerf((AD$42-Y.2/2)/(2*(alpha.y*AD$41)^0.5))</f>
        <v>1.999999999443161</v>
      </c>
      <c r="AE49" s="1016">
        <f>gerf((AE$42+Y.2/2)/(2*(alpha.y*AE$41)^0.5))-gerf((AE$42-Y.2/2)/(2*(alpha.y*AE$41)^0.5))</f>
        <v>1.9932091106635053</v>
      </c>
      <c r="AF49" s="1026"/>
      <c r="AG49" s="1026"/>
      <c r="AH49" s="1026">
        <f aca="true" t="shared" si="32" ref="AH49:BM49">gerf((AH$42+Y.2/2)/(2*(alpha.y*AH$41)^0.5))-gerf((AH$42-Y.2/2)/(2*(alpha.y*AH$41)^0.5))</f>
        <v>1.999999999443161</v>
      </c>
      <c r="AI49" s="1026">
        <f t="shared" si="32"/>
        <v>1.999999999443161</v>
      </c>
      <c r="AJ49" s="1026">
        <f t="shared" si="32"/>
        <v>1.999999999443161</v>
      </c>
      <c r="AK49" s="1026">
        <f t="shared" si="32"/>
        <v>1.999999999443161</v>
      </c>
      <c r="AL49" s="1026">
        <f t="shared" si="32"/>
        <v>1.999999999443161</v>
      </c>
      <c r="AM49" s="1026">
        <f t="shared" si="32"/>
        <v>1.999999999443161</v>
      </c>
      <c r="AN49" s="1026">
        <f t="shared" si="32"/>
        <v>1.999999999443161</v>
      </c>
      <c r="AO49" s="1026">
        <f t="shared" si="32"/>
        <v>1.999999999443161</v>
      </c>
      <c r="AP49" s="1026">
        <f t="shared" si="32"/>
        <v>1.999999999443161</v>
      </c>
      <c r="AQ49" s="1026">
        <f t="shared" si="32"/>
        <v>1.999999999443161</v>
      </c>
      <c r="AR49" s="1026">
        <f t="shared" si="32"/>
        <v>1.999999999443161</v>
      </c>
      <c r="AS49" s="1026">
        <f t="shared" si="32"/>
        <v>1.999999999443161</v>
      </c>
      <c r="AT49" s="1026">
        <f t="shared" si="32"/>
        <v>1.999999999443161</v>
      </c>
      <c r="AU49" s="1026">
        <f t="shared" si="32"/>
        <v>1.999999999443161</v>
      </c>
      <c r="AV49" s="1026">
        <f t="shared" si="32"/>
        <v>1.999999999443161</v>
      </c>
      <c r="AW49" s="1026">
        <f t="shared" si="32"/>
        <v>1.999999999443161</v>
      </c>
      <c r="AX49" s="1026">
        <f t="shared" si="32"/>
        <v>1.999999999443161</v>
      </c>
      <c r="AY49" s="1026">
        <f t="shared" si="32"/>
        <v>1.999999999443161</v>
      </c>
      <c r="AZ49" s="1026">
        <f t="shared" si="32"/>
        <v>1.999999999443161</v>
      </c>
      <c r="BA49" s="1026">
        <f t="shared" si="32"/>
        <v>1.999999999443161</v>
      </c>
      <c r="BB49" s="1026">
        <f t="shared" si="32"/>
        <v>1.999999999443161</v>
      </c>
      <c r="BC49" s="1026">
        <f t="shared" si="32"/>
        <v>1.999999999443161</v>
      </c>
      <c r="BD49" s="1026">
        <f t="shared" si="32"/>
        <v>1.999999999443161</v>
      </c>
      <c r="BE49" s="1026">
        <f t="shared" si="32"/>
        <v>1.999999999443161</v>
      </c>
      <c r="BF49" s="1026">
        <f t="shared" si="32"/>
        <v>1.999999999443161</v>
      </c>
      <c r="BG49" s="1026">
        <f t="shared" si="32"/>
        <v>1.999999999443161</v>
      </c>
      <c r="BH49" s="1026">
        <f t="shared" si="32"/>
        <v>1.999999999443161</v>
      </c>
      <c r="BI49" s="1026">
        <f t="shared" si="32"/>
        <v>1.999999999443161</v>
      </c>
      <c r="BJ49" s="1026">
        <f t="shared" si="32"/>
        <v>1.999999999443161</v>
      </c>
      <c r="BK49" s="1026">
        <f t="shared" si="32"/>
        <v>1.999999999443161</v>
      </c>
      <c r="BL49" s="1026">
        <f t="shared" si="32"/>
        <v>1.999999999443161</v>
      </c>
      <c r="BM49" s="1026">
        <f t="shared" si="32"/>
        <v>1.999999999443161</v>
      </c>
      <c r="BN49" s="1026">
        <f aca="true" t="shared" si="33" ref="BN49:CF49">gerf((BN$42+Y.2/2)/(2*(alpha.y*BN$41)^0.5))-gerf((BN$42-Y.2/2)/(2*(alpha.y*BN$41)^0.5))</f>
        <v>1.999999999443161</v>
      </c>
      <c r="BO49" s="1026">
        <f t="shared" si="33"/>
        <v>1.999999999443161</v>
      </c>
      <c r="BP49" s="1026">
        <f t="shared" si="33"/>
        <v>1.999999999443161</v>
      </c>
      <c r="BQ49" s="1026">
        <f t="shared" si="33"/>
        <v>1.999999999443161</v>
      </c>
      <c r="BR49" s="1026">
        <f t="shared" si="33"/>
        <v>1.999999999443161</v>
      </c>
      <c r="BS49" s="1026">
        <f t="shared" si="33"/>
        <v>1.999999999443161</v>
      </c>
      <c r="BT49" s="1026">
        <f t="shared" si="33"/>
        <v>1.999999999443161</v>
      </c>
      <c r="BU49" s="1026">
        <f t="shared" si="33"/>
        <v>1.999999999443161</v>
      </c>
      <c r="BV49" s="1026">
        <f t="shared" si="33"/>
        <v>1.999999999443161</v>
      </c>
      <c r="BW49" s="1026">
        <f t="shared" si="33"/>
        <v>1.999999999443161</v>
      </c>
      <c r="BX49" s="1026">
        <f t="shared" si="33"/>
        <v>1.999999999443161</v>
      </c>
      <c r="BY49" s="1026">
        <f t="shared" si="33"/>
        <v>1.999999999443161</v>
      </c>
      <c r="BZ49" s="1026">
        <f t="shared" si="33"/>
        <v>1.999999999443161</v>
      </c>
      <c r="CA49" s="1026">
        <f t="shared" si="33"/>
        <v>1.999999999443161</v>
      </c>
      <c r="CB49" s="1026">
        <f t="shared" si="33"/>
        <v>1.999999999443161</v>
      </c>
      <c r="CC49" s="1026">
        <f t="shared" si="33"/>
        <v>1.999999999443161</v>
      </c>
      <c r="CD49" s="1026">
        <f t="shared" si="33"/>
        <v>1.999999999443161</v>
      </c>
      <c r="CE49" s="1026">
        <f t="shared" si="33"/>
        <v>1.999999999443161</v>
      </c>
      <c r="CF49" s="1026">
        <f t="shared" si="33"/>
        <v>1.999999999443161</v>
      </c>
      <c r="CG49" s="1026"/>
      <c r="CH49" s="1026"/>
      <c r="CI49" s="1026">
        <f aca="true" t="shared" si="34" ref="CI49:DN49">gerf((CI$42+Y.2/2)/(2*(alpha.y*CI$41)^0.5))-gerf((CI$42-Y.2/2)/(2*(alpha.y*CI$41)^0.5))</f>
        <v>1.9932091106635053</v>
      </c>
      <c r="CJ49" s="1026">
        <f t="shared" si="34"/>
        <v>1.9932091106635053</v>
      </c>
      <c r="CK49" s="1026">
        <f t="shared" si="34"/>
        <v>1.9932091106635053</v>
      </c>
      <c r="CL49" s="1026">
        <f t="shared" si="34"/>
        <v>1.9932091106635053</v>
      </c>
      <c r="CM49" s="1026">
        <f t="shared" si="34"/>
        <v>1.9932091106635053</v>
      </c>
      <c r="CN49" s="1026">
        <f t="shared" si="34"/>
        <v>1.9932091106635053</v>
      </c>
      <c r="CO49" s="1026">
        <f t="shared" si="34"/>
        <v>1.9932091106635053</v>
      </c>
      <c r="CP49" s="1026">
        <f t="shared" si="34"/>
        <v>1.9932091106635053</v>
      </c>
      <c r="CQ49" s="1026">
        <f t="shared" si="34"/>
        <v>1.9932091106635053</v>
      </c>
      <c r="CR49" s="1026">
        <f t="shared" si="34"/>
        <v>1.9932091106635053</v>
      </c>
      <c r="CS49" s="1026">
        <f t="shared" si="34"/>
        <v>1.9932091106635053</v>
      </c>
      <c r="CT49" s="1026">
        <f t="shared" si="34"/>
        <v>1.9932091106635053</v>
      </c>
      <c r="CU49" s="1026">
        <f t="shared" si="34"/>
        <v>1.9932091106635053</v>
      </c>
      <c r="CV49" s="1026">
        <f t="shared" si="34"/>
        <v>1.9932091106635053</v>
      </c>
      <c r="CW49" s="1026">
        <f t="shared" si="34"/>
        <v>1.9932091106635053</v>
      </c>
      <c r="CX49" s="1026">
        <f t="shared" si="34"/>
        <v>1.9932091106635053</v>
      </c>
      <c r="CY49" s="1026">
        <f t="shared" si="34"/>
        <v>1.9932091106635053</v>
      </c>
      <c r="CZ49" s="1026">
        <f t="shared" si="34"/>
        <v>1.9932091106635053</v>
      </c>
      <c r="DA49" s="1026">
        <f t="shared" si="34"/>
        <v>1.9932091106635053</v>
      </c>
      <c r="DB49" s="1026">
        <f t="shared" si="34"/>
        <v>1.9932091106635053</v>
      </c>
      <c r="DC49" s="1026">
        <f t="shared" si="34"/>
        <v>1.9932091106635053</v>
      </c>
      <c r="DD49" s="1026">
        <f t="shared" si="34"/>
        <v>1.9932091106635053</v>
      </c>
      <c r="DE49" s="1026">
        <f t="shared" si="34"/>
        <v>1.9932091106635053</v>
      </c>
      <c r="DF49" s="1026">
        <f t="shared" si="34"/>
        <v>1.9932091106635053</v>
      </c>
      <c r="DG49" s="1026">
        <f t="shared" si="34"/>
        <v>1.9932091106635053</v>
      </c>
      <c r="DH49" s="1026">
        <f t="shared" si="34"/>
        <v>1.9932091106635053</v>
      </c>
      <c r="DI49" s="1026">
        <f t="shared" si="34"/>
        <v>1.9932091106635053</v>
      </c>
      <c r="DJ49" s="1026">
        <f t="shared" si="34"/>
        <v>1.9932091106635053</v>
      </c>
      <c r="DK49" s="1026">
        <f t="shared" si="34"/>
        <v>1.9932091106635053</v>
      </c>
      <c r="DL49" s="1026">
        <f t="shared" si="34"/>
        <v>1.9932091106635053</v>
      </c>
      <c r="DM49" s="1026">
        <f t="shared" si="34"/>
        <v>1.9932091106635053</v>
      </c>
      <c r="DN49" s="1026">
        <f t="shared" si="34"/>
        <v>1.9932091106635053</v>
      </c>
      <c r="DO49" s="1026">
        <f aca="true" t="shared" si="35" ref="DO49:EJ49">gerf((DO$42+Y.2/2)/(2*(alpha.y*DO$41)^0.5))-gerf((DO$42-Y.2/2)/(2*(alpha.y*DO$41)^0.5))</f>
        <v>1.9932091106635053</v>
      </c>
      <c r="DP49" s="1026">
        <f t="shared" si="35"/>
        <v>1.9932091106635053</v>
      </c>
      <c r="DQ49" s="1026">
        <f t="shared" si="35"/>
        <v>1.9932091106635053</v>
      </c>
      <c r="DR49" s="1026">
        <f t="shared" si="35"/>
        <v>1.9932091106635053</v>
      </c>
      <c r="DS49" s="1026">
        <f t="shared" si="35"/>
        <v>1.9932091106635053</v>
      </c>
      <c r="DT49" s="1026">
        <f t="shared" si="35"/>
        <v>1.9932091106635053</v>
      </c>
      <c r="DU49" s="1026">
        <f t="shared" si="35"/>
        <v>1.9932091106635053</v>
      </c>
      <c r="DV49" s="1026">
        <f t="shared" si="35"/>
        <v>1.9932091106635053</v>
      </c>
      <c r="DW49" s="1026">
        <f t="shared" si="35"/>
        <v>1.9932091106635053</v>
      </c>
      <c r="DX49" s="1026">
        <f t="shared" si="35"/>
        <v>1.9932091106635053</v>
      </c>
      <c r="DY49" s="1026">
        <f t="shared" si="35"/>
        <v>1.9932091106635053</v>
      </c>
      <c r="DZ49" s="1026">
        <f t="shared" si="35"/>
        <v>1.9932091106635053</v>
      </c>
      <c r="EA49" s="1026">
        <f t="shared" si="35"/>
        <v>1.9932091106635053</v>
      </c>
      <c r="EB49" s="1026">
        <f t="shared" si="35"/>
        <v>1.9932091106635053</v>
      </c>
      <c r="EC49" s="1026">
        <f t="shared" si="35"/>
        <v>1.9932091106635053</v>
      </c>
      <c r="ED49" s="1026">
        <f t="shared" si="35"/>
        <v>1.9932091106635053</v>
      </c>
      <c r="EE49" s="1026">
        <f t="shared" si="35"/>
        <v>1.9932091106635053</v>
      </c>
      <c r="EF49" s="1026">
        <f t="shared" si="35"/>
        <v>1.9932091106635053</v>
      </c>
      <c r="EG49" s="1026">
        <f t="shared" si="35"/>
        <v>1.9932091106635053</v>
      </c>
      <c r="EH49" s="1026"/>
      <c r="EI49" s="1026"/>
      <c r="EJ49" s="1026">
        <f t="shared" si="35"/>
        <v>1.999999999443161</v>
      </c>
    </row>
    <row r="50" spans="1:140" ht="12.75">
      <c r="A50" s="342"/>
      <c r="B50" s="342"/>
      <c r="C50" s="342"/>
      <c r="D50" s="342"/>
      <c r="E50" s="342"/>
      <c r="F50" s="342"/>
      <c r="G50" s="342"/>
      <c r="H50" s="342"/>
      <c r="I50" s="342"/>
      <c r="J50" s="342"/>
      <c r="K50" s="342"/>
      <c r="L50" s="342"/>
      <c r="M50" s="342"/>
      <c r="N50" s="342"/>
      <c r="O50" s="342"/>
      <c r="P50" s="342"/>
      <c r="Q50" s="342"/>
      <c r="AA50" s="713"/>
      <c r="AB50" s="1021" t="s">
        <v>57</v>
      </c>
      <c r="AC50" s="1016"/>
      <c r="AD50" s="1032">
        <f>gerf((AD$42+Y.3/2)/(2*(alpha.y*AD$41)^0.5))-gerf((AD$42-Y.3/2)/(2*(alpha.y*AD$41)^0.5))</f>
        <v>1.999944312162281</v>
      </c>
      <c r="AE50" s="1016">
        <f>gerf((AE$42+Y.3/2)/(2*(alpha.y*AE$41)^0.5))-gerf((AE$42-Y.3/2)/(2*(alpha.y*AE$41)^0.5))</f>
        <v>1.8910555850231674</v>
      </c>
      <c r="AF50" s="1026"/>
      <c r="AG50" s="1026"/>
      <c r="AH50" s="1026">
        <f aca="true" t="shared" si="36" ref="AH50:BM50">gerf((AH$42+Y.3/2)/(2*(alpha.y*AH$41)^0.5))-gerf((AH$42-Y.3/2)/(2*(alpha.y*AH$41)^0.5))</f>
        <v>1.999944312162281</v>
      </c>
      <c r="AI50" s="1026">
        <f t="shared" si="36"/>
        <v>1.999944312162281</v>
      </c>
      <c r="AJ50" s="1026">
        <f t="shared" si="36"/>
        <v>1.999944312162281</v>
      </c>
      <c r="AK50" s="1026">
        <f t="shared" si="36"/>
        <v>1.999944312162281</v>
      </c>
      <c r="AL50" s="1026">
        <f t="shared" si="36"/>
        <v>1.999944312162281</v>
      </c>
      <c r="AM50" s="1026">
        <f t="shared" si="36"/>
        <v>1.999944312162281</v>
      </c>
      <c r="AN50" s="1026">
        <f t="shared" si="36"/>
        <v>1.999944312162281</v>
      </c>
      <c r="AO50" s="1026">
        <f t="shared" si="36"/>
        <v>1.999944312162281</v>
      </c>
      <c r="AP50" s="1026">
        <f t="shared" si="36"/>
        <v>1.999944312162281</v>
      </c>
      <c r="AQ50" s="1026">
        <f t="shared" si="36"/>
        <v>1.999944312162281</v>
      </c>
      <c r="AR50" s="1026">
        <f t="shared" si="36"/>
        <v>1.999944312162281</v>
      </c>
      <c r="AS50" s="1026">
        <f t="shared" si="36"/>
        <v>1.999944312162281</v>
      </c>
      <c r="AT50" s="1026">
        <f t="shared" si="36"/>
        <v>1.999944312162281</v>
      </c>
      <c r="AU50" s="1026">
        <f t="shared" si="36"/>
        <v>1.999944312162281</v>
      </c>
      <c r="AV50" s="1026">
        <f t="shared" si="36"/>
        <v>1.999944312162281</v>
      </c>
      <c r="AW50" s="1026">
        <f t="shared" si="36"/>
        <v>1.999944312162281</v>
      </c>
      <c r="AX50" s="1026">
        <f t="shared" si="36"/>
        <v>1.999944312162281</v>
      </c>
      <c r="AY50" s="1026">
        <f t="shared" si="36"/>
        <v>1.999944312162281</v>
      </c>
      <c r="AZ50" s="1026">
        <f t="shared" si="36"/>
        <v>1.999944312162281</v>
      </c>
      <c r="BA50" s="1026">
        <f t="shared" si="36"/>
        <v>1.999944312162281</v>
      </c>
      <c r="BB50" s="1026">
        <f t="shared" si="36"/>
        <v>1.999944312162281</v>
      </c>
      <c r="BC50" s="1026">
        <f t="shared" si="36"/>
        <v>1.999944312162281</v>
      </c>
      <c r="BD50" s="1026">
        <f t="shared" si="36"/>
        <v>1.999944312162281</v>
      </c>
      <c r="BE50" s="1026">
        <f t="shared" si="36"/>
        <v>1.999944312162281</v>
      </c>
      <c r="BF50" s="1026">
        <f t="shared" si="36"/>
        <v>1.999944312162281</v>
      </c>
      <c r="BG50" s="1026">
        <f t="shared" si="36"/>
        <v>1.999944312162281</v>
      </c>
      <c r="BH50" s="1026">
        <f t="shared" si="36"/>
        <v>1.999944312162281</v>
      </c>
      <c r="BI50" s="1026">
        <f t="shared" si="36"/>
        <v>1.999944312162281</v>
      </c>
      <c r="BJ50" s="1026">
        <f t="shared" si="36"/>
        <v>1.999944312162281</v>
      </c>
      <c r="BK50" s="1026">
        <f t="shared" si="36"/>
        <v>1.999944312162281</v>
      </c>
      <c r="BL50" s="1026">
        <f t="shared" si="36"/>
        <v>1.999944312162281</v>
      </c>
      <c r="BM50" s="1026">
        <f t="shared" si="36"/>
        <v>1.999944312162281</v>
      </c>
      <c r="BN50" s="1026">
        <f aca="true" t="shared" si="37" ref="BN50:CF50">gerf((BN$42+Y.3/2)/(2*(alpha.y*BN$41)^0.5))-gerf((BN$42-Y.3/2)/(2*(alpha.y*BN$41)^0.5))</f>
        <v>1.999944312162281</v>
      </c>
      <c r="BO50" s="1026">
        <f t="shared" si="37"/>
        <v>1.999944312162281</v>
      </c>
      <c r="BP50" s="1026">
        <f t="shared" si="37"/>
        <v>1.999944312162281</v>
      </c>
      <c r="BQ50" s="1026">
        <f t="shared" si="37"/>
        <v>1.999944312162281</v>
      </c>
      <c r="BR50" s="1026">
        <f t="shared" si="37"/>
        <v>1.999944312162281</v>
      </c>
      <c r="BS50" s="1026">
        <f t="shared" si="37"/>
        <v>1.999944312162281</v>
      </c>
      <c r="BT50" s="1026">
        <f t="shared" si="37"/>
        <v>1.999944312162281</v>
      </c>
      <c r="BU50" s="1026">
        <f t="shared" si="37"/>
        <v>1.999944312162281</v>
      </c>
      <c r="BV50" s="1026">
        <f t="shared" si="37"/>
        <v>1.999944312162281</v>
      </c>
      <c r="BW50" s="1026">
        <f t="shared" si="37"/>
        <v>1.999944312162281</v>
      </c>
      <c r="BX50" s="1026">
        <f t="shared" si="37"/>
        <v>1.999944312162281</v>
      </c>
      <c r="BY50" s="1026">
        <f t="shared" si="37"/>
        <v>1.999944312162281</v>
      </c>
      <c r="BZ50" s="1026">
        <f t="shared" si="37"/>
        <v>1.999944312162281</v>
      </c>
      <c r="CA50" s="1026">
        <f t="shared" si="37"/>
        <v>1.999944312162281</v>
      </c>
      <c r="CB50" s="1026">
        <f t="shared" si="37"/>
        <v>1.999944312162281</v>
      </c>
      <c r="CC50" s="1026">
        <f t="shared" si="37"/>
        <v>1.999944312162281</v>
      </c>
      <c r="CD50" s="1026">
        <f t="shared" si="37"/>
        <v>1.999944312162281</v>
      </c>
      <c r="CE50" s="1026">
        <f t="shared" si="37"/>
        <v>1.999944312162281</v>
      </c>
      <c r="CF50" s="1026">
        <f t="shared" si="37"/>
        <v>1.999944312162281</v>
      </c>
      <c r="CG50" s="1026"/>
      <c r="CH50" s="1026"/>
      <c r="CI50" s="1026">
        <f aca="true" t="shared" si="38" ref="CI50:DN50">gerf((CI$42+Y.3/2)/(2*(alpha.y*CI$41)^0.5))-gerf((CI$42-Y.3/2)/(2*(alpha.y*CI$41)^0.5))</f>
        <v>1.8910555850231674</v>
      </c>
      <c r="CJ50" s="1026">
        <f t="shared" si="38"/>
        <v>1.8910555850231674</v>
      </c>
      <c r="CK50" s="1026">
        <f t="shared" si="38"/>
        <v>1.8910555850231674</v>
      </c>
      <c r="CL50" s="1026">
        <f t="shared" si="38"/>
        <v>1.8910555850231674</v>
      </c>
      <c r="CM50" s="1026">
        <f t="shared" si="38"/>
        <v>1.8910555850231674</v>
      </c>
      <c r="CN50" s="1026">
        <f t="shared" si="38"/>
        <v>1.8910555850231674</v>
      </c>
      <c r="CO50" s="1026">
        <f t="shared" si="38"/>
        <v>1.8910555850231674</v>
      </c>
      <c r="CP50" s="1026">
        <f t="shared" si="38"/>
        <v>1.8910555850231674</v>
      </c>
      <c r="CQ50" s="1026">
        <f t="shared" si="38"/>
        <v>1.8910555850231674</v>
      </c>
      <c r="CR50" s="1026">
        <f t="shared" si="38"/>
        <v>1.8910555850231674</v>
      </c>
      <c r="CS50" s="1026">
        <f t="shared" si="38"/>
        <v>1.8910555850231674</v>
      </c>
      <c r="CT50" s="1026">
        <f t="shared" si="38"/>
        <v>1.8910555850231674</v>
      </c>
      <c r="CU50" s="1026">
        <f t="shared" si="38"/>
        <v>1.8910555850231674</v>
      </c>
      <c r="CV50" s="1026">
        <f t="shared" si="38"/>
        <v>1.8910555850231674</v>
      </c>
      <c r="CW50" s="1026">
        <f t="shared" si="38"/>
        <v>1.8910555850231674</v>
      </c>
      <c r="CX50" s="1026">
        <f t="shared" si="38"/>
        <v>1.8910555850231674</v>
      </c>
      <c r="CY50" s="1026">
        <f t="shared" si="38"/>
        <v>1.8910555850231674</v>
      </c>
      <c r="CZ50" s="1026">
        <f t="shared" si="38"/>
        <v>1.8910555850231674</v>
      </c>
      <c r="DA50" s="1026">
        <f t="shared" si="38"/>
        <v>1.8910555850231674</v>
      </c>
      <c r="DB50" s="1026">
        <f t="shared" si="38"/>
        <v>1.8910555850231674</v>
      </c>
      <c r="DC50" s="1026">
        <f t="shared" si="38"/>
        <v>1.8910555850231674</v>
      </c>
      <c r="DD50" s="1026">
        <f t="shared" si="38"/>
        <v>1.8910555850231674</v>
      </c>
      <c r="DE50" s="1026">
        <f t="shared" si="38"/>
        <v>1.8910555850231674</v>
      </c>
      <c r="DF50" s="1026">
        <f t="shared" si="38"/>
        <v>1.8910555850231674</v>
      </c>
      <c r="DG50" s="1026">
        <f t="shared" si="38"/>
        <v>1.8910555850231674</v>
      </c>
      <c r="DH50" s="1026">
        <f t="shared" si="38"/>
        <v>1.8910555850231674</v>
      </c>
      <c r="DI50" s="1026">
        <f t="shared" si="38"/>
        <v>1.8910555850231674</v>
      </c>
      <c r="DJ50" s="1026">
        <f t="shared" si="38"/>
        <v>1.8910555850231674</v>
      </c>
      <c r="DK50" s="1026">
        <f t="shared" si="38"/>
        <v>1.8910555850231674</v>
      </c>
      <c r="DL50" s="1026">
        <f t="shared" si="38"/>
        <v>1.8910555850231674</v>
      </c>
      <c r="DM50" s="1026">
        <f t="shared" si="38"/>
        <v>1.8910555850231674</v>
      </c>
      <c r="DN50" s="1026">
        <f t="shared" si="38"/>
        <v>1.8910555850231674</v>
      </c>
      <c r="DO50" s="1026">
        <f aca="true" t="shared" si="39" ref="DO50:EJ50">gerf((DO$42+Y.3/2)/(2*(alpha.y*DO$41)^0.5))-gerf((DO$42-Y.3/2)/(2*(alpha.y*DO$41)^0.5))</f>
        <v>1.8910555850231674</v>
      </c>
      <c r="DP50" s="1026">
        <f t="shared" si="39"/>
        <v>1.8910555850231674</v>
      </c>
      <c r="DQ50" s="1026">
        <f t="shared" si="39"/>
        <v>1.8910555850231674</v>
      </c>
      <c r="DR50" s="1026">
        <f t="shared" si="39"/>
        <v>1.8910555850231674</v>
      </c>
      <c r="DS50" s="1026">
        <f t="shared" si="39"/>
        <v>1.8910555850231674</v>
      </c>
      <c r="DT50" s="1026">
        <f t="shared" si="39"/>
        <v>1.8910555850231674</v>
      </c>
      <c r="DU50" s="1026">
        <f t="shared" si="39"/>
        <v>1.8910555850231674</v>
      </c>
      <c r="DV50" s="1026">
        <f t="shared" si="39"/>
        <v>1.8910555850231674</v>
      </c>
      <c r="DW50" s="1026">
        <f t="shared" si="39"/>
        <v>1.8910555850231674</v>
      </c>
      <c r="DX50" s="1026">
        <f t="shared" si="39"/>
        <v>1.8910555850231674</v>
      </c>
      <c r="DY50" s="1026">
        <f t="shared" si="39"/>
        <v>1.8910555850231674</v>
      </c>
      <c r="DZ50" s="1026">
        <f t="shared" si="39"/>
        <v>1.8910555850231674</v>
      </c>
      <c r="EA50" s="1026">
        <f t="shared" si="39"/>
        <v>1.8910555850231674</v>
      </c>
      <c r="EB50" s="1026">
        <f t="shared" si="39"/>
        <v>1.8910555850231674</v>
      </c>
      <c r="EC50" s="1026">
        <f t="shared" si="39"/>
        <v>1.8910555850231674</v>
      </c>
      <c r="ED50" s="1026">
        <f t="shared" si="39"/>
        <v>1.8910555850231674</v>
      </c>
      <c r="EE50" s="1026">
        <f t="shared" si="39"/>
        <v>1.8910555850231674</v>
      </c>
      <c r="EF50" s="1026">
        <f t="shared" si="39"/>
        <v>1.8910555850231674</v>
      </c>
      <c r="EG50" s="1026">
        <f t="shared" si="39"/>
        <v>1.8910555850231674</v>
      </c>
      <c r="EH50" s="1026"/>
      <c r="EI50" s="1026"/>
      <c r="EJ50" s="1026">
        <f t="shared" si="39"/>
        <v>1.999944312162281</v>
      </c>
    </row>
    <row r="51" spans="1:140" ht="15" customHeight="1">
      <c r="A51" s="342"/>
      <c r="B51" s="342"/>
      <c r="C51" s="342"/>
      <c r="D51" s="342"/>
      <c r="E51" s="342"/>
      <c r="F51" s="342"/>
      <c r="G51" s="342"/>
      <c r="H51" s="342"/>
      <c r="I51" s="342"/>
      <c r="J51" s="342"/>
      <c r="K51" s="342"/>
      <c r="L51" s="342"/>
      <c r="M51" s="342"/>
      <c r="N51" s="342"/>
      <c r="O51" s="342"/>
      <c r="P51" s="342"/>
      <c r="Q51" s="342"/>
      <c r="AA51" s="713"/>
      <c r="AB51" s="1021" t="s">
        <v>129</v>
      </c>
      <c r="AC51" s="1029"/>
      <c r="AD51" s="1030">
        <f>IF(AD48&lt;&gt;0,C.1*EXP(-ksource*MAX(0,(t_sim-AD55))),0)*AD43*AD45*AD47*AD48/8</f>
        <v>5.034192255956292</v>
      </c>
      <c r="AE51" s="1029">
        <f>IF(AE48&lt;&gt;0,C.1*EXP(-ksource*MAX(0,(t_sim-AE$55))),0)*AE$43*AE$45*AE$47*AE48/8</f>
        <v>6.132827487203693</v>
      </c>
      <c r="AF51" s="1031"/>
      <c r="AG51" s="1031"/>
      <c r="AH51" s="1031">
        <f aca="true" t="shared" si="40" ref="AH51:BM51">IF(AH48&lt;&gt;0,C.1*EXP(-ksource*MAX(0,(AH40-AH$55))),0)*AH$43*AH$45*AH$47*AH48/8</f>
        <v>0</v>
      </c>
      <c r="AI51" s="1031">
        <f t="shared" si="40"/>
        <v>27.57633031315434</v>
      </c>
      <c r="AJ51" s="1031">
        <f t="shared" si="40"/>
        <v>50.49601444948828</v>
      </c>
      <c r="AK51" s="1031">
        <f t="shared" si="40"/>
        <v>57.09059361352102</v>
      </c>
      <c r="AL51" s="1031">
        <f t="shared" si="40"/>
        <v>57.651412636127674</v>
      </c>
      <c r="AM51" s="1031">
        <f t="shared" si="40"/>
        <v>56.02687544520972</v>
      </c>
      <c r="AN51" s="1031">
        <f t="shared" si="40"/>
        <v>53.648202172858795</v>
      </c>
      <c r="AO51" s="1031">
        <f t="shared" si="40"/>
        <v>51.06025833552673</v>
      </c>
      <c r="AP51" s="1031">
        <f t="shared" si="40"/>
        <v>48.472976233026195</v>
      </c>
      <c r="AQ51" s="1031">
        <f t="shared" si="40"/>
        <v>45.96616224383414</v>
      </c>
      <c r="AR51" s="1031">
        <f t="shared" si="40"/>
        <v>43.56809211579262</v>
      </c>
      <c r="AS51" s="1031">
        <f t="shared" si="40"/>
        <v>41.28642970145372</v>
      </c>
      <c r="AT51" s="1031">
        <f t="shared" si="40"/>
        <v>39.12061186827267</v>
      </c>
      <c r="AU51" s="1031">
        <f t="shared" si="40"/>
        <v>37.06687325175024</v>
      </c>
      <c r="AV51" s="1031">
        <f t="shared" si="40"/>
        <v>35.12030117281873</v>
      </c>
      <c r="AW51" s="1031">
        <f t="shared" si="40"/>
        <v>33.275677698996155</v>
      </c>
      <c r="AX51" s="1031">
        <f t="shared" si="40"/>
        <v>31.527821881377275</v>
      </c>
      <c r="AY51" s="1031">
        <f t="shared" si="40"/>
        <v>29.871724692573252</v>
      </c>
      <c r="AZ51" s="1031">
        <f t="shared" si="40"/>
        <v>28.302597704561165</v>
      </c>
      <c r="BA51" s="1031">
        <f t="shared" si="40"/>
        <v>26.815885927402896</v>
      </c>
      <c r="BB51" s="1031">
        <f t="shared" si="40"/>
        <v>25.40726592110076</v>
      </c>
      <c r="BC51" s="1031">
        <f t="shared" si="40"/>
        <v>24.072638051296135</v>
      </c>
      <c r="BD51" s="1031">
        <f t="shared" si="40"/>
        <v>22.80811661988189</v>
      </c>
      <c r="BE51" s="1031">
        <f t="shared" si="40"/>
        <v>21.610019434649764</v>
      </c>
      <c r="BF51" s="1031">
        <f t="shared" si="40"/>
        <v>20.474857465556784</v>
      </c>
      <c r="BG51" s="1031">
        <f t="shared" si="40"/>
        <v>19.399324846794176</v>
      </c>
      <c r="BH51" s="1031">
        <f t="shared" si="40"/>
        <v>18.380289319280703</v>
      </c>
      <c r="BI51" s="1031">
        <f t="shared" si="40"/>
        <v>17.414783138777093</v>
      </c>
      <c r="BJ51" s="1031">
        <f t="shared" si="40"/>
        <v>16.499994445911554</v>
      </c>
      <c r="BK51" s="1031">
        <f t="shared" si="40"/>
        <v>15.63325908277429</v>
      </c>
      <c r="BL51" s="1031">
        <f t="shared" si="40"/>
        <v>14.812052836464932</v>
      </c>
      <c r="BM51" s="1031">
        <f t="shared" si="40"/>
        <v>14.033984088821924</v>
      </c>
      <c r="BN51" s="1031">
        <f aca="true" t="shared" si="41" ref="BN51:CE51">IF(BN48&lt;&gt;0,C.1*EXP(-ksource*MAX(0,(BN40-BN$55))),0)*BN$43*BN$45*BN$47*BN48/8</f>
        <v>13.296786851712403</v>
      </c>
      <c r="BO51" s="1031">
        <f t="shared" si="41"/>
        <v>12.598314167938511</v>
      </c>
      <c r="BP51" s="1031">
        <f t="shared" si="41"/>
        <v>11.936531858688106</v>
      </c>
      <c r="BQ51" s="1031">
        <f t="shared" si="41"/>
        <v>11.30951259938401</v>
      </c>
      <c r="BR51" s="1031">
        <f t="shared" si="41"/>
        <v>10.715430306706354</v>
      </c>
      <c r="BS51" s="1031">
        <f t="shared" si="41"/>
        <v>10.152554820453068</v>
      </c>
      <c r="BT51" s="1031">
        <f t="shared" si="41"/>
        <v>9.619246864755603</v>
      </c>
      <c r="BU51" s="1031">
        <f t="shared" si="41"/>
        <v>9.113953273977605</v>
      </c>
      <c r="BV51" s="1031">
        <f t="shared" si="41"/>
        <v>8.635202469393679</v>
      </c>
      <c r="BW51" s="1031">
        <f t="shared" si="41"/>
        <v>8.181600173475395</v>
      </c>
      <c r="BX51" s="1031">
        <f t="shared" si="41"/>
        <v>7.751825349303283</v>
      </c>
      <c r="BY51" s="1031">
        <f t="shared" si="41"/>
        <v>7.344626353279171</v>
      </c>
      <c r="BZ51" s="1031">
        <f t="shared" si="41"/>
        <v>6.958817289934317</v>
      </c>
      <c r="CA51" s="1031">
        <f t="shared" si="41"/>
        <v>6.593274558217423</v>
      </c>
      <c r="CB51" s="1031">
        <f t="shared" si="41"/>
        <v>6.246933579204155</v>
      </c>
      <c r="CC51" s="1031">
        <f t="shared" si="41"/>
        <v>5.918785695698241</v>
      </c>
      <c r="CD51" s="1031">
        <f t="shared" si="41"/>
        <v>5.6078752346947685</v>
      </c>
      <c r="CE51" s="1031">
        <f t="shared" si="41"/>
        <v>5.3132967241506</v>
      </c>
      <c r="CF51" s="1031">
        <f>IF(CF48&lt;&gt;0,C.1*EXP(-ksource*MAX(0,(CF40-CF$55))),0)*CF$43*CF$45*CF$47*CF48/8</f>
        <v>5.0341922559562935</v>
      </c>
      <c r="CG51" s="1031"/>
      <c r="CH51" s="1031"/>
      <c r="CI51" s="1031">
        <f aca="true" t="shared" si="42" ref="CI51:DN51">IF(CI48&lt;&gt;0,C.1*EXP(-ksource*MAX(0,(CI40-CI$55))),0)*CI$43*CI$45*CI$47*CI48/8</f>
        <v>0</v>
      </c>
      <c r="CJ51" s="1031">
        <f t="shared" si="42"/>
        <v>6.078880563532128E-05</v>
      </c>
      <c r="CK51" s="1031">
        <f t="shared" si="42"/>
        <v>0.42271062878630994</v>
      </c>
      <c r="CL51" s="1031">
        <f t="shared" si="42"/>
        <v>6.3425921063543065</v>
      </c>
      <c r="CM51" s="1031">
        <f t="shared" si="42"/>
        <v>20.601029657477756</v>
      </c>
      <c r="CN51" s="1031">
        <f t="shared" si="42"/>
        <v>36.65741467543971</v>
      </c>
      <c r="CO51" s="1031">
        <f t="shared" si="42"/>
        <v>47.06273271009037</v>
      </c>
      <c r="CP51" s="1031">
        <f t="shared" si="42"/>
        <v>52.3761461756128</v>
      </c>
      <c r="CQ51" s="1031">
        <f t="shared" si="42"/>
        <v>54.0308275247171</v>
      </c>
      <c r="CR51" s="1031">
        <f t="shared" si="42"/>
        <v>53.520379788437026</v>
      </c>
      <c r="CS51" s="1031">
        <f t="shared" si="42"/>
        <v>51.883968150978724</v>
      </c>
      <c r="CT51" s="1031">
        <f t="shared" si="42"/>
        <v>49.73319228379575</v>
      </c>
      <c r="CU51" s="1031">
        <f t="shared" si="42"/>
        <v>47.39549913153597</v>
      </c>
      <c r="CV51" s="1031">
        <f t="shared" si="42"/>
        <v>45.03503929207599</v>
      </c>
      <c r="CW51" s="1031">
        <f t="shared" si="42"/>
        <v>42.72936559790583</v>
      </c>
      <c r="CX51" s="1031">
        <f t="shared" si="42"/>
        <v>40.51240355833196</v>
      </c>
      <c r="CY51" s="1031">
        <f t="shared" si="42"/>
        <v>38.396900240292766</v>
      </c>
      <c r="CZ51" s="1031">
        <f t="shared" si="42"/>
        <v>36.38564427039813</v>
      </c>
      <c r="DA51" s="1031">
        <f t="shared" si="42"/>
        <v>34.47690541059881</v>
      </c>
      <c r="DB51" s="1031">
        <f t="shared" si="42"/>
        <v>32.66701255105737</v>
      </c>
      <c r="DC51" s="1031">
        <f t="shared" si="42"/>
        <v>30.951552580918456</v>
      </c>
      <c r="DD51" s="1031">
        <f t="shared" si="42"/>
        <v>29.325917373603943</v>
      </c>
      <c r="DE51" s="1031">
        <f t="shared" si="42"/>
        <v>27.785547165120388</v>
      </c>
      <c r="DF51" s="1031">
        <f t="shared" si="42"/>
        <v>26.326034240937695</v>
      </c>
      <c r="DG51" s="1031">
        <f t="shared" si="42"/>
        <v>24.943163076728144</v>
      </c>
      <c r="DH51" s="1031">
        <f t="shared" si="42"/>
        <v>23.63292194798861</v>
      </c>
      <c r="DI51" s="1031">
        <f t="shared" si="42"/>
        <v>22.39150197696188</v>
      </c>
      <c r="DJ51" s="1031">
        <f t="shared" si="42"/>
        <v>21.21529084563441</v>
      </c>
      <c r="DK51" s="1031">
        <f t="shared" si="42"/>
        <v>20.10086442234288</v>
      </c>
      <c r="DL51" s="1031">
        <f t="shared" si="42"/>
        <v>19.04497774663713</v>
      </c>
      <c r="DM51" s="1031">
        <f t="shared" si="42"/>
        <v>18.044556004789143</v>
      </c>
      <c r="DN51" s="1031">
        <f t="shared" si="42"/>
        <v>17.096685764174325</v>
      </c>
      <c r="DO51" s="1031">
        <f aca="true" t="shared" si="43" ref="DO51:EF51">IF(DO48&lt;&gt;0,C.1*EXP(-ksource*MAX(0,(DO40-DO$55))),0)*DO$43*DO$45*DO$47*DO48/8</f>
        <v>16.198606572387874</v>
      </c>
      <c r="DP51" s="1031">
        <f t="shared" si="43"/>
        <v>15.347702955138189</v>
      </c>
      <c r="DQ51" s="1031">
        <f t="shared" si="43"/>
        <v>14.541496815624026</v>
      </c>
      <c r="DR51" s="1031">
        <f t="shared" si="43"/>
        <v>13.777640224808685</v>
      </c>
      <c r="DS51" s="1031">
        <f t="shared" si="43"/>
        <v>13.053908586715659</v>
      </c>
      <c r="DT51" s="1031">
        <f t="shared" si="43"/>
        <v>12.368194161109765</v>
      </c>
      <c r="DU51" s="1031">
        <f t="shared" si="43"/>
        <v>11.718499925704153</v>
      </c>
      <c r="DV51" s="1031">
        <f t="shared" si="43"/>
        <v>11.102933760462108</v>
      </c>
      <c r="DW51" s="1031">
        <f t="shared" si="43"/>
        <v>10.519702937252895</v>
      </c>
      <c r="DX51" s="1031">
        <f t="shared" si="43"/>
        <v>9.967108898900479</v>
      </c>
      <c r="DY51" s="1031">
        <f t="shared" si="43"/>
        <v>9.443542312458312</v>
      </c>
      <c r="DZ51" s="1031">
        <f t="shared" si="43"/>
        <v>8.947478382320696</v>
      </c>
      <c r="EA51" s="1031">
        <f t="shared" si="43"/>
        <v>8.477472409528302</v>
      </c>
      <c r="EB51" s="1031">
        <f t="shared" si="43"/>
        <v>8.032155584338621</v>
      </c>
      <c r="EC51" s="1031">
        <f t="shared" si="43"/>
        <v>7.610230999809143</v>
      </c>
      <c r="ED51" s="1031">
        <f t="shared" si="43"/>
        <v>7.210469874784385</v>
      </c>
      <c r="EE51" s="1031">
        <f t="shared" si="43"/>
        <v>6.831707975287017</v>
      </c>
      <c r="EF51" s="1031">
        <f t="shared" si="43"/>
        <v>6.472842223891218</v>
      </c>
      <c r="EG51" s="1031">
        <f>IF(EG48&lt;&gt;0,C.1*EXP(-ksource*MAX(0,(EG40-EG$55))),0)*EG$43*EG$45*EG$47*EG48/8</f>
        <v>6.132827487203697</v>
      </c>
      <c r="EH51" s="1031"/>
      <c r="EI51" s="1031"/>
      <c r="EJ51" s="1031">
        <f>IF(EJ48&lt;&gt;0,C.1*EXP(-ksource*MAX(0,(EJ40-EJ$55))),0)*EJ$43*EJ$45*EJ$47*EJ48/8</f>
        <v>0.08152587595501706</v>
      </c>
    </row>
    <row r="52" spans="1:140" ht="15" customHeight="1">
      <c r="A52" s="342"/>
      <c r="B52" s="580"/>
      <c r="C52" s="342"/>
      <c r="D52" s="342"/>
      <c r="E52" s="342"/>
      <c r="F52" s="342"/>
      <c r="G52" s="342"/>
      <c r="H52" s="342"/>
      <c r="I52" s="342"/>
      <c r="J52" s="342"/>
      <c r="K52" s="342"/>
      <c r="L52" s="342"/>
      <c r="M52" s="342"/>
      <c r="N52" s="342"/>
      <c r="O52" s="342"/>
      <c r="P52" s="342"/>
      <c r="Q52" s="342"/>
      <c r="AA52" s="713"/>
      <c r="AB52" s="1021" t="s">
        <v>130</v>
      </c>
      <c r="AC52" s="1029"/>
      <c r="AD52" s="1030">
        <f>IF(AD49&lt;&gt;0,C.2*EXP(-ksource*MAX(0,(t_sim-AD$55))),0)*AD43*AD45*AD47*AD49/8</f>
        <v>318.592452681103</v>
      </c>
      <c r="AE52" s="1029">
        <f>IF(AE49&lt;&gt;0,C.2*EXP(-ksource*MAX(0,(t_sim-AE$55))),0)*AE$43*AE$45*AE$47*AE49/8</f>
        <v>386.80274234865556</v>
      </c>
      <c r="AF52" s="1031"/>
      <c r="AG52" s="1031"/>
      <c r="AH52" s="1031">
        <f aca="true" t="shared" si="44" ref="AH52:BM52">IF(AH49&lt;&gt;0,C.2*EXP(-ksource*MAX(0,(AH40-AH$55))),0)*AH$43*AH$45*AH$47*AH49/8</f>
        <v>0</v>
      </c>
      <c r="AI52" s="1031">
        <f t="shared" si="44"/>
        <v>1745.187760760873</v>
      </c>
      <c r="AJ52" s="1031">
        <f t="shared" si="44"/>
        <v>3195.676342127876</v>
      </c>
      <c r="AK52" s="1031">
        <f t="shared" si="44"/>
        <v>3613.0189948211814</v>
      </c>
      <c r="AL52" s="1031">
        <f t="shared" si="44"/>
        <v>3648.510827241978</v>
      </c>
      <c r="AM52" s="1031">
        <f t="shared" si="44"/>
        <v>3545.700830759651</v>
      </c>
      <c r="AN52" s="1031">
        <f t="shared" si="44"/>
        <v>3395.164793708498</v>
      </c>
      <c r="AO52" s="1031">
        <f t="shared" si="44"/>
        <v>3231.3849194772256</v>
      </c>
      <c r="AP52" s="1031">
        <f t="shared" si="44"/>
        <v>3067.646923607422</v>
      </c>
      <c r="AQ52" s="1031">
        <f t="shared" si="44"/>
        <v>2909.0014097641524</v>
      </c>
      <c r="AR52" s="1031">
        <f t="shared" si="44"/>
        <v>2757.237828846064</v>
      </c>
      <c r="AS52" s="1031">
        <f t="shared" si="44"/>
        <v>2612.8411932359622</v>
      </c>
      <c r="AT52" s="1031">
        <f t="shared" si="44"/>
        <v>2475.775864688523</v>
      </c>
      <c r="AU52" s="1031">
        <f t="shared" si="44"/>
        <v>2345.803549421933</v>
      </c>
      <c r="AV52" s="1031">
        <f t="shared" si="44"/>
        <v>2222.613345032424</v>
      </c>
      <c r="AW52" s="1031">
        <f t="shared" si="44"/>
        <v>2105.875030935869</v>
      </c>
      <c r="AX52" s="1031">
        <f t="shared" si="44"/>
        <v>1995.2607270802137</v>
      </c>
      <c r="AY52" s="1031">
        <f t="shared" si="44"/>
        <v>1890.4534335893682</v>
      </c>
      <c r="AZ52" s="1031">
        <f t="shared" si="44"/>
        <v>1791.1501113756794</v>
      </c>
      <c r="BA52" s="1031">
        <f t="shared" si="44"/>
        <v>1697.0624946474309</v>
      </c>
      <c r="BB52" s="1031">
        <f t="shared" si="44"/>
        <v>1607.9169714162729</v>
      </c>
      <c r="BC52" s="1031">
        <f t="shared" si="44"/>
        <v>1523.4540933935814</v>
      </c>
      <c r="BD52" s="1031">
        <f t="shared" si="44"/>
        <v>1443.4279513992183</v>
      </c>
      <c r="BE52" s="1031">
        <f t="shared" si="44"/>
        <v>1367.60551526921</v>
      </c>
      <c r="BF52" s="1031">
        <f t="shared" si="44"/>
        <v>1295.7659792451843</v>
      </c>
      <c r="BG52" s="1031">
        <f t="shared" si="44"/>
        <v>1227.7001292481586</v>
      </c>
      <c r="BH52" s="1031">
        <f t="shared" si="44"/>
        <v>1163.209738024904</v>
      </c>
      <c r="BI52" s="1031">
        <f t="shared" si="44"/>
        <v>1102.1069897614736</v>
      </c>
      <c r="BJ52" s="1031">
        <f t="shared" si="44"/>
        <v>1044.2139339291018</v>
      </c>
      <c r="BK52" s="1031">
        <f t="shared" si="44"/>
        <v>989.3619673915438</v>
      </c>
      <c r="BL52" s="1031">
        <f t="shared" si="44"/>
        <v>937.3913435324355</v>
      </c>
      <c r="BM52" s="1031">
        <f t="shared" si="44"/>
        <v>888.1507070881661</v>
      </c>
      <c r="BN52" s="1031">
        <f aca="true" t="shared" si="45" ref="BN52:CE52">IF(BN49&lt;&gt;0,C.2*EXP(-ksource*MAX(0,(BN40-BN$55))),0)*BN$43*BN$45*BN$47*BN49/8</f>
        <v>841.4966533812244</v>
      </c>
      <c r="BO52" s="1031">
        <f t="shared" si="45"/>
        <v>797.2933106918409</v>
      </c>
      <c r="BP52" s="1031">
        <f t="shared" si="45"/>
        <v>755.4119445609401</v>
      </c>
      <c r="BQ52" s="1031">
        <f t="shared" si="45"/>
        <v>715.7305828760292</v>
      </c>
      <c r="BR52" s="1031">
        <f t="shared" si="45"/>
        <v>678.1336606498965</v>
      </c>
      <c r="BS52" s="1031">
        <f t="shared" si="45"/>
        <v>642.5116834583563</v>
      </c>
      <c r="BT52" s="1031">
        <f t="shared" si="45"/>
        <v>608.7609085571852</v>
      </c>
      <c r="BU52" s="1031">
        <f t="shared" si="45"/>
        <v>576.7830427497094</v>
      </c>
      <c r="BV52" s="1031">
        <f t="shared" si="45"/>
        <v>546.4849561251907</v>
      </c>
      <c r="BW52" s="1031">
        <f t="shared" si="45"/>
        <v>517.7784108343548</v>
      </c>
      <c r="BX52" s="1031">
        <f t="shared" si="45"/>
        <v>490.57980411217795</v>
      </c>
      <c r="BY52" s="1031">
        <f t="shared" si="45"/>
        <v>464.8099247995411</v>
      </c>
      <c r="BZ52" s="1031">
        <f t="shared" si="45"/>
        <v>440.3937226546576</v>
      </c>
      <c r="CA52" s="1031">
        <f t="shared" si="45"/>
        <v>417.2600897824435</v>
      </c>
      <c r="CB52" s="1031">
        <f t="shared" si="45"/>
        <v>395.34165354527784</v>
      </c>
      <c r="CC52" s="1031">
        <f t="shared" si="45"/>
        <v>374.5745803520427</v>
      </c>
      <c r="CD52" s="1031">
        <f t="shared" si="45"/>
        <v>354.8983897540154</v>
      </c>
      <c r="CE52" s="1031">
        <f t="shared" si="45"/>
        <v>336.2557783061964</v>
      </c>
      <c r="CF52" s="1031">
        <f>IF(CF49&lt;&gt;0,C.2*EXP(-ksource*MAX(0,(CF40-CF$55))),0)*CF$43*CF$45*CF$47*CF49/8</f>
        <v>318.5924526811031</v>
      </c>
      <c r="CG52" s="1031"/>
      <c r="CH52" s="1031"/>
      <c r="CI52" s="1031">
        <f aca="true" t="shared" si="46" ref="CI52:DN52">IF(CI49&lt;&gt;0,C.2*EXP(-ksource*MAX(0,(CI40-CI$55))),0)*CI$43*CI$45*CI$47*CI49/8</f>
        <v>0</v>
      </c>
      <c r="CJ52" s="1031">
        <f t="shared" si="46"/>
        <v>0.003834002631396815</v>
      </c>
      <c r="CK52" s="1031">
        <f t="shared" si="46"/>
        <v>26.660725542276875</v>
      </c>
      <c r="CL52" s="1031">
        <f t="shared" si="46"/>
        <v>400.0327785928632</v>
      </c>
      <c r="CM52" s="1031">
        <f t="shared" si="46"/>
        <v>1299.3247867064479</v>
      </c>
      <c r="CN52" s="1031">
        <f t="shared" si="46"/>
        <v>2312.0148990750486</v>
      </c>
      <c r="CO52" s="1031">
        <f t="shared" si="46"/>
        <v>2968.2873214137926</v>
      </c>
      <c r="CP52" s="1031">
        <f t="shared" si="46"/>
        <v>3303.408911575046</v>
      </c>
      <c r="CQ52" s="1031">
        <f t="shared" si="46"/>
        <v>3407.7710976763447</v>
      </c>
      <c r="CR52" s="1031">
        <f t="shared" si="46"/>
        <v>3375.576716759751</v>
      </c>
      <c r="CS52" s="1031">
        <f t="shared" si="46"/>
        <v>3272.3668171986055</v>
      </c>
      <c r="CT52" s="1031">
        <f t="shared" si="46"/>
        <v>3136.7155200865454</v>
      </c>
      <c r="CU52" s="1031">
        <f t="shared" si="46"/>
        <v>2989.2751878824433</v>
      </c>
      <c r="CV52" s="1031">
        <f t="shared" si="46"/>
        <v>2840.3989409943556</v>
      </c>
      <c r="CW52" s="1031">
        <f t="shared" si="46"/>
        <v>2694.9781037497046</v>
      </c>
      <c r="CX52" s="1031">
        <f t="shared" si="46"/>
        <v>2555.1523874093555</v>
      </c>
      <c r="CY52" s="1031">
        <f t="shared" si="46"/>
        <v>2421.7257605276095</v>
      </c>
      <c r="CZ52" s="1031">
        <f t="shared" si="46"/>
        <v>2294.874104200478</v>
      </c>
      <c r="DA52" s="1031">
        <f t="shared" si="46"/>
        <v>2174.488290815327</v>
      </c>
      <c r="DB52" s="1031">
        <f t="shared" si="46"/>
        <v>2060.336780294512</v>
      </c>
      <c r="DC52" s="1031">
        <f t="shared" si="46"/>
        <v>1952.1412339134051</v>
      </c>
      <c r="DD52" s="1031">
        <f t="shared" si="46"/>
        <v>1849.6110131368077</v>
      </c>
      <c r="DE52" s="1031">
        <f t="shared" si="46"/>
        <v>1752.4585296996327</v>
      </c>
      <c r="DF52" s="1031">
        <f t="shared" si="46"/>
        <v>1660.4057852281621</v>
      </c>
      <c r="DG52" s="1031">
        <f t="shared" si="46"/>
        <v>1573.1869029512336</v>
      </c>
      <c r="DH52" s="1031">
        <f t="shared" si="46"/>
        <v>1490.5488599291673</v>
      </c>
      <c r="DI52" s="1031">
        <f t="shared" si="46"/>
        <v>1412.2514269422707</v>
      </c>
      <c r="DJ52" s="1031">
        <f t="shared" si="46"/>
        <v>1338.0667719641601</v>
      </c>
      <c r="DK52" s="1031">
        <f t="shared" si="46"/>
        <v>1267.778932044581</v>
      </c>
      <c r="DL52" s="1031">
        <f t="shared" si="46"/>
        <v>1201.1832447169056</v>
      </c>
      <c r="DM52" s="1031">
        <f t="shared" si="46"/>
        <v>1138.0857788156661</v>
      </c>
      <c r="DN52" s="1031">
        <f t="shared" si="46"/>
        <v>1078.3027816213878</v>
      </c>
      <c r="DO52" s="1031">
        <f aca="true" t="shared" si="47" ref="DO52:EF52">IF(DO49&lt;&gt;0,C.2*EXP(-ksource*MAX(0,(DO40-DO$55))),0)*DO$43*DO$45*DO$47*DO49/8</f>
        <v>1021.6601490095817</v>
      </c>
      <c r="DP52" s="1031">
        <f t="shared" si="47"/>
        <v>967.9929207509505</v>
      </c>
      <c r="DQ52" s="1031">
        <f t="shared" si="47"/>
        <v>917.1448011335198</v>
      </c>
      <c r="DR52" s="1031">
        <f t="shared" si="47"/>
        <v>868.9677042389866</v>
      </c>
      <c r="DS52" s="1031">
        <f t="shared" si="47"/>
        <v>823.3213228719952</v>
      </c>
      <c r="DT52" s="1031">
        <f t="shared" si="47"/>
        <v>780.0727200300246</v>
      </c>
      <c r="DU52" s="1031">
        <f t="shared" si="47"/>
        <v>739.0959417874676</v>
      </c>
      <c r="DV52" s="1031">
        <f t="shared" si="47"/>
        <v>700.2716504945075</v>
      </c>
      <c r="DW52" s="1031">
        <f t="shared" si="47"/>
        <v>663.4867772349387</v>
      </c>
      <c r="DX52" s="1031">
        <f t="shared" si="47"/>
        <v>628.6341925362468</v>
      </c>
      <c r="DY52" s="1031">
        <f t="shared" si="47"/>
        <v>595.6123943753641</v>
      </c>
      <c r="DZ52" s="1031">
        <f t="shared" si="47"/>
        <v>564.3252125725427</v>
      </c>
      <c r="EA52" s="1031">
        <f t="shared" si="47"/>
        <v>534.6815287129078</v>
      </c>
      <c r="EB52" s="1031">
        <f t="shared" si="47"/>
        <v>506.59501078023004</v>
      </c>
      <c r="EC52" s="1031">
        <f t="shared" si="47"/>
        <v>479.983861730164</v>
      </c>
      <c r="ED52" s="1031">
        <f t="shared" si="47"/>
        <v>454.77058127076793</v>
      </c>
      <c r="EE52" s="1031">
        <f t="shared" si="47"/>
        <v>430.8817401565418</v>
      </c>
      <c r="EF52" s="1031">
        <f t="shared" si="47"/>
        <v>408.24776633866793</v>
      </c>
      <c r="EG52" s="1031">
        <f>IF(EG49&lt;&gt;0,C.2*EXP(-ksource*MAX(0,(EG40-EG$55))),0)*EG$43*EG$45*EG$47*EG49/8</f>
        <v>386.8027423486557</v>
      </c>
      <c r="EH52" s="1031"/>
      <c r="EI52" s="1031"/>
      <c r="EJ52" s="1031">
        <f>IF(EJ49&lt;&gt;0,C.2*EXP(-ksource*MAX(0,(EJ40-EJ$55))),0)*EJ$43*EJ$45*EJ$47*EJ49/8</f>
        <v>5.15942329114531</v>
      </c>
    </row>
    <row r="53" spans="1:140" ht="12.75">
      <c r="A53" s="342"/>
      <c r="B53" s="342"/>
      <c r="C53" s="342"/>
      <c r="D53" s="342"/>
      <c r="E53" s="342"/>
      <c r="F53" s="342"/>
      <c r="G53" s="342"/>
      <c r="H53" s="342"/>
      <c r="I53" s="342"/>
      <c r="J53" s="342"/>
      <c r="K53" s="342"/>
      <c r="L53" s="342"/>
      <c r="M53" s="342"/>
      <c r="N53" s="342"/>
      <c r="O53" s="342"/>
      <c r="P53" s="342"/>
      <c r="Q53" s="342"/>
      <c r="AA53" s="713"/>
      <c r="AB53" s="1021" t="s">
        <v>131</v>
      </c>
      <c r="AC53" s="1029"/>
      <c r="AD53" s="1030">
        <f>IF(AD50&lt;&gt;0,C.3*EXP(-ksource*MAX(0,(t_sim-AD$55))),0)*AD$43*AD$45*AD$47*AD50/8</f>
        <v>323.61763399171673</v>
      </c>
      <c r="AE53" s="1029">
        <f>IF(AE50&lt;&gt;0,C.3*EXP(-ksource*MAX(0,(t_sim-AE$55))),0)*AE$43*AE$45*AE$47*AE50/8</f>
        <v>372.77756138382534</v>
      </c>
      <c r="AF53" s="1031"/>
      <c r="AG53" s="1031"/>
      <c r="AH53" s="1031">
        <f aca="true" t="shared" si="48" ref="AH53:BM53">IF(AH50&lt;&gt;0,C.3*EXP(-ksource*MAX(0,(AH40-AH$55))),0)*AH$43*AH$45*AH$47*AH50/8</f>
        <v>0</v>
      </c>
      <c r="AI53" s="1031">
        <f t="shared" si="48"/>
        <v>1772.7147308603994</v>
      </c>
      <c r="AJ53" s="1031">
        <f t="shared" si="48"/>
        <v>3246.0819713073784</v>
      </c>
      <c r="AK53" s="1031">
        <f t="shared" si="48"/>
        <v>3670.0073992070234</v>
      </c>
      <c r="AL53" s="1031">
        <f t="shared" si="48"/>
        <v>3706.0590468132064</v>
      </c>
      <c r="AM53" s="1031">
        <f t="shared" si="48"/>
        <v>3601.6274209780204</v>
      </c>
      <c r="AN53" s="1031">
        <f t="shared" si="48"/>
        <v>3448.716968357392</v>
      </c>
      <c r="AO53" s="1031">
        <f t="shared" si="48"/>
        <v>3282.3537825752164</v>
      </c>
      <c r="AP53" s="1031">
        <f t="shared" si="48"/>
        <v>3116.03313570487</v>
      </c>
      <c r="AQ53" s="1031">
        <f t="shared" si="48"/>
        <v>2954.8852949405796</v>
      </c>
      <c r="AR53" s="1031">
        <f t="shared" si="48"/>
        <v>2800.7279363167</v>
      </c>
      <c r="AS53" s="1031">
        <f t="shared" si="48"/>
        <v>2654.0537223506863</v>
      </c>
      <c r="AT53" s="1031">
        <f t="shared" si="48"/>
        <v>2514.8264526726475</v>
      </c>
      <c r="AU53" s="1031">
        <f t="shared" si="48"/>
        <v>2382.804074876081</v>
      </c>
      <c r="AV53" s="1031">
        <f t="shared" si="48"/>
        <v>2257.670782671593</v>
      </c>
      <c r="AW53" s="1031">
        <f t="shared" si="48"/>
        <v>2139.0911468824056</v>
      </c>
      <c r="AX53" s="1031">
        <f t="shared" si="48"/>
        <v>2026.7321157811925</v>
      </c>
      <c r="AY53" s="1031">
        <f t="shared" si="48"/>
        <v>1920.2716894303746</v>
      </c>
      <c r="AZ53" s="1031">
        <f t="shared" si="48"/>
        <v>1819.4020488853178</v>
      </c>
      <c r="BA53" s="1031">
        <f t="shared" si="48"/>
        <v>1723.8303815175636</v>
      </c>
      <c r="BB53" s="1031">
        <f t="shared" si="48"/>
        <v>1633.2787596375008</v>
      </c>
      <c r="BC53" s="1031">
        <f t="shared" si="48"/>
        <v>1547.4836426602824</v>
      </c>
      <c r="BD53" s="1031">
        <f t="shared" si="48"/>
        <v>1466.1952426628607</v>
      </c>
      <c r="BE53" s="1031">
        <f t="shared" si="48"/>
        <v>1389.1768538799906</v>
      </c>
      <c r="BF53" s="1031">
        <f t="shared" si="48"/>
        <v>1316.2041877684408</v>
      </c>
      <c r="BG53" s="1031">
        <f t="shared" si="48"/>
        <v>1247.0647303007495</v>
      </c>
      <c r="BH53" s="1031">
        <f t="shared" si="48"/>
        <v>1181.5571275711898</v>
      </c>
      <c r="BI53" s="1031">
        <f t="shared" si="48"/>
        <v>1119.4906013336843</v>
      </c>
      <c r="BJ53" s="1031">
        <f t="shared" si="48"/>
        <v>1060.6843942331798</v>
      </c>
      <c r="BK53" s="1031">
        <f t="shared" si="48"/>
        <v>1004.9672437442281</v>
      </c>
      <c r="BL53" s="1031">
        <f t="shared" si="48"/>
        <v>952.1768835557751</v>
      </c>
      <c r="BM53" s="1031">
        <f t="shared" si="48"/>
        <v>902.1595710669222</v>
      </c>
      <c r="BN53" s="1031">
        <f aca="true" t="shared" si="49" ref="BN53:CE53">IF(BN50&lt;&gt;0,C.3*EXP(-ksource*MAX(0,(BN40-BN$55))),0)*BN$43*BN$45*BN$47*BN50/8</f>
        <v>854.7696396680279</v>
      </c>
      <c r="BO53" s="1031">
        <f t="shared" si="49"/>
        <v>809.8690745250676</v>
      </c>
      <c r="BP53" s="1031">
        <f t="shared" si="49"/>
        <v>767.3271106412295</v>
      </c>
      <c r="BQ53" s="1031">
        <f t="shared" si="49"/>
        <v>727.019852029255</v>
      </c>
      <c r="BR53" s="1031">
        <f t="shared" si="49"/>
        <v>688.8299108872081</v>
      </c>
      <c r="BS53" s="1031">
        <f t="shared" si="49"/>
        <v>652.6460657275991</v>
      </c>
      <c r="BT53" s="1031">
        <f t="shared" si="49"/>
        <v>618.362937464555</v>
      </c>
      <c r="BU53" s="1031">
        <f t="shared" si="49"/>
        <v>585.8806825158529</v>
      </c>
      <c r="BV53" s="1031">
        <f t="shared" si="49"/>
        <v>555.1047020260789</v>
      </c>
      <c r="BW53" s="1031">
        <f t="shared" si="49"/>
        <v>525.9453663641159</v>
      </c>
      <c r="BX53" s="1031">
        <f t="shared" si="49"/>
        <v>498.3177540926086</v>
      </c>
      <c r="BY53" s="1031">
        <f t="shared" si="49"/>
        <v>472.1414046492174</v>
      </c>
      <c r="BZ53" s="1031">
        <f t="shared" si="49"/>
        <v>447.34008401937893</v>
      </c>
      <c r="CA53" s="1031">
        <f t="shared" si="49"/>
        <v>423.84156271814606</v>
      </c>
      <c r="CB53" s="1031">
        <f t="shared" si="49"/>
        <v>401.577405434515</v>
      </c>
      <c r="CC53" s="1031">
        <f t="shared" si="49"/>
        <v>380.4827717256161</v>
      </c>
      <c r="CD53" s="1031">
        <f t="shared" si="49"/>
        <v>360.4962271803274</v>
      </c>
      <c r="CE53" s="1031">
        <f t="shared" si="49"/>
        <v>341.5595645023545</v>
      </c>
      <c r="CF53" s="1031">
        <f>IF(CF50&lt;&gt;0,C.3*EXP(-ksource*MAX(0,(CF40-CF$55))),0)*CF$43*CF$45*CF$47*CF50/8</f>
        <v>323.6176339917169</v>
      </c>
      <c r="CG53" s="1031"/>
      <c r="CH53" s="1031"/>
      <c r="CI53" s="1031">
        <f aca="true" t="shared" si="50" ref="CI53:DN53">IF(CI50&lt;&gt;0,C.3*EXP(-ksource*MAX(0,(CI40-CI$55))),0)*CI$43*CI$45*CI$47*CI50/8</f>
        <v>0</v>
      </c>
      <c r="CJ53" s="1031">
        <f t="shared" si="50"/>
        <v>0.003694984535510344</v>
      </c>
      <c r="CK53" s="1031">
        <f t="shared" si="50"/>
        <v>25.694027379503616</v>
      </c>
      <c r="CL53" s="1031">
        <f t="shared" si="50"/>
        <v>385.52788631220943</v>
      </c>
      <c r="CM53" s="1031">
        <f t="shared" si="50"/>
        <v>1252.2122322426505</v>
      </c>
      <c r="CN53" s="1031">
        <f t="shared" si="50"/>
        <v>2228.1829511523974</v>
      </c>
      <c r="CO53" s="1031">
        <f t="shared" si="50"/>
        <v>2860.659421503728</v>
      </c>
      <c r="CP53" s="1031">
        <f t="shared" si="50"/>
        <v>3183.629751002521</v>
      </c>
      <c r="CQ53" s="1031">
        <f t="shared" si="50"/>
        <v>3284.207841528208</v>
      </c>
      <c r="CR53" s="1031">
        <f t="shared" si="50"/>
        <v>3253.18080501994</v>
      </c>
      <c r="CS53" s="1031">
        <f t="shared" si="50"/>
        <v>3153.7132199778634</v>
      </c>
      <c r="CT53" s="1031">
        <f t="shared" si="50"/>
        <v>3022.9805384334145</v>
      </c>
      <c r="CU53" s="1031">
        <f t="shared" si="50"/>
        <v>2880.8862834781994</v>
      </c>
      <c r="CV53" s="1031">
        <f t="shared" si="50"/>
        <v>2737.408179041977</v>
      </c>
      <c r="CW53" s="1031">
        <f t="shared" si="50"/>
        <v>2597.2601936546553</v>
      </c>
      <c r="CX53" s="1031">
        <f t="shared" si="50"/>
        <v>2462.5044542314886</v>
      </c>
      <c r="CY53" s="1031">
        <f t="shared" si="50"/>
        <v>2333.9157780224314</v>
      </c>
      <c r="CZ53" s="1031">
        <f t="shared" si="50"/>
        <v>2211.663668805213</v>
      </c>
      <c r="DA53" s="1031">
        <f t="shared" si="50"/>
        <v>2095.642955853614</v>
      </c>
      <c r="DB53" s="1031">
        <f t="shared" si="50"/>
        <v>1985.6304945617203</v>
      </c>
      <c r="DC53" s="1031">
        <f t="shared" si="50"/>
        <v>1881.3580385609189</v>
      </c>
      <c r="DD53" s="1031">
        <f t="shared" si="50"/>
        <v>1782.5454876540443</v>
      </c>
      <c r="DE53" s="1031">
        <f t="shared" si="50"/>
        <v>1688.915681313509</v>
      </c>
      <c r="DF53" s="1031">
        <f t="shared" si="50"/>
        <v>1600.200701180736</v>
      </c>
      <c r="DG53" s="1031">
        <f t="shared" si="50"/>
        <v>1516.1443109793713</v>
      </c>
      <c r="DH53" s="1031">
        <f t="shared" si="50"/>
        <v>1436.5026621941358</v>
      </c>
      <c r="DI53" s="1031">
        <f t="shared" si="50"/>
        <v>1361.044236138925</v>
      </c>
      <c r="DJ53" s="1031">
        <f t="shared" si="50"/>
        <v>1289.549461807895</v>
      </c>
      <c r="DK53" s="1031">
        <f t="shared" si="50"/>
        <v>1221.810206907423</v>
      </c>
      <c r="DL53" s="1031">
        <f t="shared" si="50"/>
        <v>1157.629229880343</v>
      </c>
      <c r="DM53" s="1031">
        <f t="shared" si="50"/>
        <v>1096.8196313616193</v>
      </c>
      <c r="DN53" s="1031">
        <f t="shared" si="50"/>
        <v>1039.2043213692941</v>
      </c>
      <c r="DO53" s="1031">
        <f aca="true" t="shared" si="51" ref="DO53:EF53">IF(DO50&lt;&gt;0,C.3*EXP(-ksource*MAX(0,(DO40-DO$55))),0)*DO$43*DO$45*DO$47*DO50/8</f>
        <v>984.615508665489</v>
      </c>
      <c r="DP53" s="1031">
        <f t="shared" si="51"/>
        <v>932.8942143566478</v>
      </c>
      <c r="DQ53" s="1031">
        <f t="shared" si="51"/>
        <v>883.8898098975573</v>
      </c>
      <c r="DR53" s="1031">
        <f t="shared" si="51"/>
        <v>837.4595788556372</v>
      </c>
      <c r="DS53" s="1031">
        <f t="shared" si="51"/>
        <v>793.4683014705216</v>
      </c>
      <c r="DT53" s="1031">
        <f t="shared" si="51"/>
        <v>751.7878609369453</v>
      </c>
      <c r="DU53" s="1031">
        <f t="shared" si="51"/>
        <v>712.2968703253599</v>
      </c>
      <c r="DV53" s="1031">
        <f t="shared" si="51"/>
        <v>674.880319080748</v>
      </c>
      <c r="DW53" s="1031">
        <f t="shared" si="51"/>
        <v>639.4292380820643</v>
      </c>
      <c r="DX53" s="1031">
        <f t="shared" si="51"/>
        <v>605.8403822921262</v>
      </c>
      <c r="DY53" s="1031">
        <f t="shared" si="51"/>
        <v>574.0159300760481</v>
      </c>
      <c r="DZ53" s="1031">
        <f t="shared" si="51"/>
        <v>543.8631983135746</v>
      </c>
      <c r="EA53" s="1031">
        <f t="shared" si="51"/>
        <v>515.2943724760705</v>
      </c>
      <c r="EB53" s="1031">
        <f t="shared" si="51"/>
        <v>488.2262508822756</v>
      </c>
      <c r="EC53" s="1031">
        <f t="shared" si="51"/>
        <v>462.58000238809234</v>
      </c>
      <c r="ED53" s="1031">
        <f t="shared" si="51"/>
        <v>438.28093680476695</v>
      </c>
      <c r="EE53" s="1031">
        <f t="shared" si="51"/>
        <v>415.25828737685805</v>
      </c>
      <c r="EF53" s="1031">
        <f t="shared" si="51"/>
        <v>393.4450046865118</v>
      </c>
      <c r="EG53" s="1031">
        <f>IF(EG50&lt;&gt;0,C.3*EXP(-ksource*MAX(0,(EG40-EG$55))),0)*EG$43*EG$45*EG$47*EG50/8</f>
        <v>372.7775613838255</v>
      </c>
      <c r="EH53" s="1031"/>
      <c r="EI53" s="1031"/>
      <c r="EJ53" s="1031">
        <f>IF(EJ50&lt;&gt;0,C.3*EXP(-ksource*MAX(0,(EJ40-EJ$55))),0)*EJ$43*EJ$45*EJ$47*EJ50/8</f>
        <v>5.240803239973416</v>
      </c>
    </row>
    <row r="54" spans="1:140" ht="12.75">
      <c r="A54" s="342"/>
      <c r="B54" s="342"/>
      <c r="C54" s="342"/>
      <c r="D54" s="342"/>
      <c r="E54" s="342"/>
      <c r="F54" s="342"/>
      <c r="G54" s="342"/>
      <c r="H54" s="342"/>
      <c r="I54" s="342"/>
      <c r="J54" s="342"/>
      <c r="K54" s="342"/>
      <c r="L54" s="342"/>
      <c r="M54" s="342"/>
      <c r="N54" s="342"/>
      <c r="O54" s="342"/>
      <c r="P54" s="342"/>
      <c r="Q54" s="342"/>
      <c r="AA54" s="713"/>
      <c r="AB54" s="1021"/>
      <c r="AC54" s="713"/>
      <c r="AD54" s="1032"/>
      <c r="AE54" s="1016"/>
      <c r="AF54" s="1026"/>
      <c r="AG54" s="1026"/>
      <c r="AH54" s="1026"/>
      <c r="AI54" s="1026"/>
      <c r="AJ54" s="1026"/>
      <c r="AK54" s="1026"/>
      <c r="AL54" s="1026"/>
      <c r="AM54" s="1026"/>
      <c r="AN54" s="1026"/>
      <c r="AO54" s="1026"/>
      <c r="AP54" s="1026"/>
      <c r="AQ54" s="1026"/>
      <c r="AR54" s="1026"/>
      <c r="AS54" s="1026"/>
      <c r="AT54" s="1026"/>
      <c r="AU54" s="1026"/>
      <c r="AV54" s="1026"/>
      <c r="AW54" s="1026"/>
      <c r="AX54" s="1026"/>
      <c r="AY54" s="1026"/>
      <c r="AZ54" s="1026"/>
      <c r="BA54" s="1026"/>
      <c r="BB54" s="1026"/>
      <c r="BC54" s="1026"/>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1026"/>
      <c r="CJ54" s="1026"/>
      <c r="CK54" s="1026"/>
      <c r="CL54" s="1026"/>
      <c r="CM54" s="1026"/>
      <c r="CN54" s="1026"/>
      <c r="CO54" s="1026"/>
      <c r="CP54" s="1026"/>
      <c r="CQ54" s="1026"/>
      <c r="CR54" s="1026"/>
      <c r="CS54" s="1026"/>
      <c r="CT54" s="1026"/>
      <c r="CU54" s="1026"/>
      <c r="CV54" s="1026"/>
      <c r="CW54" s="1026"/>
      <c r="CX54" s="1026"/>
      <c r="CY54" s="1026"/>
      <c r="CZ54" s="1026"/>
      <c r="DA54" s="1026"/>
      <c r="DB54" s="1026"/>
      <c r="DC54" s="1026"/>
      <c r="DD54" s="1026"/>
      <c r="DE54" s="1026"/>
      <c r="DF54" s="1026"/>
      <c r="DG54" s="1026"/>
      <c r="DH54" s="1026"/>
      <c r="DI54" s="1026"/>
      <c r="DJ54" s="1026"/>
      <c r="DK54" s="1026"/>
      <c r="DL54" s="1026"/>
      <c r="DM54" s="1026"/>
      <c r="DN54" s="1026"/>
      <c r="DO54" s="1026"/>
      <c r="DP54" s="1026"/>
      <c r="DQ54" s="1026"/>
      <c r="DR54" s="1026"/>
      <c r="DS54" s="1026"/>
      <c r="DT54" s="1026"/>
      <c r="DU54" s="1026"/>
      <c r="DV54" s="1026"/>
      <c r="DW54" s="1026"/>
      <c r="DX54" s="1026"/>
      <c r="DY54" s="1026"/>
      <c r="DZ54" s="1026"/>
      <c r="EA54" s="1026"/>
      <c r="EB54" s="1026"/>
      <c r="EC54" s="1026"/>
      <c r="ED54" s="1026"/>
      <c r="EE54" s="1026"/>
      <c r="EF54" s="1026"/>
      <c r="EG54" s="1026"/>
      <c r="EH54" s="1026"/>
      <c r="EI54" s="1026"/>
      <c r="EJ54" s="1026"/>
    </row>
    <row r="55" spans="1:140" ht="12.75">
      <c r="A55" s="342"/>
      <c r="B55" s="342"/>
      <c r="C55" s="342"/>
      <c r="D55" s="342"/>
      <c r="E55" s="342"/>
      <c r="F55" s="342"/>
      <c r="G55" s="342"/>
      <c r="H55" s="342"/>
      <c r="I55" s="342"/>
      <c r="J55" s="342"/>
      <c r="K55" s="342"/>
      <c r="L55" s="342"/>
      <c r="M55" s="342"/>
      <c r="N55" s="342"/>
      <c r="O55" s="342"/>
      <c r="P55" s="342"/>
      <c r="Q55" s="342"/>
      <c r="AA55" s="713"/>
      <c r="AB55" s="1021" t="s">
        <v>132</v>
      </c>
      <c r="AC55" s="1034"/>
      <c r="AD55" s="1032">
        <f>AD41/Vc</f>
        <v>0.9023730455237303</v>
      </c>
      <c r="AE55" s="1016">
        <f>AE41/Vc</f>
        <v>3.6094921820949213</v>
      </c>
      <c r="AF55" s="1026"/>
      <c r="AG55" s="1026"/>
      <c r="AH55" s="1026">
        <f>AH41/Vc</f>
        <v>0.9023730455237303</v>
      </c>
      <c r="AI55" s="1026">
        <f aca="true" t="shared" si="52" ref="AI55:BM55">AI41/Vc</f>
        <v>0.9023730455237303</v>
      </c>
      <c r="AJ55" s="1026">
        <f t="shared" si="52"/>
        <v>0.9023730455237303</v>
      </c>
      <c r="AK55" s="1026">
        <f t="shared" si="52"/>
        <v>0.9023730455237303</v>
      </c>
      <c r="AL55" s="1026">
        <f t="shared" si="52"/>
        <v>0.9023730455237303</v>
      </c>
      <c r="AM55" s="1026">
        <f t="shared" si="52"/>
        <v>0.9023730455237303</v>
      </c>
      <c r="AN55" s="1026">
        <f t="shared" si="52"/>
        <v>0.9023730455237303</v>
      </c>
      <c r="AO55" s="1026">
        <f t="shared" si="52"/>
        <v>0.9023730455237303</v>
      </c>
      <c r="AP55" s="1026">
        <f t="shared" si="52"/>
        <v>0.9023730455237303</v>
      </c>
      <c r="AQ55" s="1026">
        <f t="shared" si="52"/>
        <v>0.9023730455237303</v>
      </c>
      <c r="AR55" s="1026">
        <f t="shared" si="52"/>
        <v>0.9023730455237303</v>
      </c>
      <c r="AS55" s="1026">
        <f t="shared" si="52"/>
        <v>0.9023730455237303</v>
      </c>
      <c r="AT55" s="1026">
        <f t="shared" si="52"/>
        <v>0.9023730455237303</v>
      </c>
      <c r="AU55" s="1026">
        <f t="shared" si="52"/>
        <v>0.9023730455237303</v>
      </c>
      <c r="AV55" s="1026">
        <f t="shared" si="52"/>
        <v>0.9023730455237303</v>
      </c>
      <c r="AW55" s="1026">
        <f t="shared" si="52"/>
        <v>0.9023730455237303</v>
      </c>
      <c r="AX55" s="1026">
        <f t="shared" si="52"/>
        <v>0.9023730455237303</v>
      </c>
      <c r="AY55" s="1026">
        <f t="shared" si="52"/>
        <v>0.9023730455237303</v>
      </c>
      <c r="AZ55" s="1026">
        <f t="shared" si="52"/>
        <v>0.9023730455237303</v>
      </c>
      <c r="BA55" s="1026">
        <f t="shared" si="52"/>
        <v>0.9023730455237303</v>
      </c>
      <c r="BB55" s="1026">
        <f t="shared" si="52"/>
        <v>0.9023730455237303</v>
      </c>
      <c r="BC55" s="1026">
        <f t="shared" si="52"/>
        <v>0.9023730455237303</v>
      </c>
      <c r="BD55" s="1026">
        <f t="shared" si="52"/>
        <v>0.9023730455237303</v>
      </c>
      <c r="BE55" s="1026">
        <f t="shared" si="52"/>
        <v>0.9023730455237303</v>
      </c>
      <c r="BF55" s="1026">
        <f t="shared" si="52"/>
        <v>0.9023730455237303</v>
      </c>
      <c r="BG55" s="1026">
        <f t="shared" si="52"/>
        <v>0.9023730455237303</v>
      </c>
      <c r="BH55" s="1026">
        <f t="shared" si="52"/>
        <v>0.9023730455237303</v>
      </c>
      <c r="BI55" s="1026">
        <f t="shared" si="52"/>
        <v>0.9023730455237303</v>
      </c>
      <c r="BJ55" s="1026">
        <f t="shared" si="52"/>
        <v>0.9023730455237303</v>
      </c>
      <c r="BK55" s="1026">
        <f t="shared" si="52"/>
        <v>0.9023730455237303</v>
      </c>
      <c r="BL55" s="1026">
        <f t="shared" si="52"/>
        <v>0.9023730455237303</v>
      </c>
      <c r="BM55" s="1026">
        <f t="shared" si="52"/>
        <v>0.9023730455237303</v>
      </c>
      <c r="BN55" s="1026">
        <f aca="true" t="shared" si="53" ref="BN55:CE55">BN41/Vc</f>
        <v>0.9023730455237303</v>
      </c>
      <c r="BO55" s="1026">
        <f t="shared" si="53"/>
        <v>0.9023730455237303</v>
      </c>
      <c r="BP55" s="1026">
        <f t="shared" si="53"/>
        <v>0.9023730455237303</v>
      </c>
      <c r="BQ55" s="1026">
        <f t="shared" si="53"/>
        <v>0.9023730455237303</v>
      </c>
      <c r="BR55" s="1026">
        <f t="shared" si="53"/>
        <v>0.9023730455237303</v>
      </c>
      <c r="BS55" s="1026">
        <f t="shared" si="53"/>
        <v>0.9023730455237303</v>
      </c>
      <c r="BT55" s="1026">
        <f t="shared" si="53"/>
        <v>0.9023730455237303</v>
      </c>
      <c r="BU55" s="1026">
        <f t="shared" si="53"/>
        <v>0.9023730455237303</v>
      </c>
      <c r="BV55" s="1026">
        <f t="shared" si="53"/>
        <v>0.9023730455237303</v>
      </c>
      <c r="BW55" s="1026">
        <f t="shared" si="53"/>
        <v>0.9023730455237303</v>
      </c>
      <c r="BX55" s="1026">
        <f t="shared" si="53"/>
        <v>0.9023730455237303</v>
      </c>
      <c r="BY55" s="1026">
        <f t="shared" si="53"/>
        <v>0.9023730455237303</v>
      </c>
      <c r="BZ55" s="1026">
        <f t="shared" si="53"/>
        <v>0.9023730455237303</v>
      </c>
      <c r="CA55" s="1026">
        <f t="shared" si="53"/>
        <v>0.9023730455237303</v>
      </c>
      <c r="CB55" s="1026">
        <f t="shared" si="53"/>
        <v>0.9023730455237303</v>
      </c>
      <c r="CC55" s="1026">
        <f t="shared" si="53"/>
        <v>0.9023730455237303</v>
      </c>
      <c r="CD55" s="1026">
        <f t="shared" si="53"/>
        <v>0.9023730455237303</v>
      </c>
      <c r="CE55" s="1026">
        <f t="shared" si="53"/>
        <v>0.9023730455237303</v>
      </c>
      <c r="CF55" s="1026">
        <f>CF41/Vc</f>
        <v>0.9023730455237303</v>
      </c>
      <c r="CG55" s="1026"/>
      <c r="CH55" s="1026"/>
      <c r="CI55" s="1026">
        <f aca="true" t="shared" si="54" ref="CI55:DN55">CI41/Vc</f>
        <v>3.6094921820949213</v>
      </c>
      <c r="CJ55" s="1026">
        <f t="shared" si="54"/>
        <v>3.6094921820949213</v>
      </c>
      <c r="CK55" s="1026">
        <f t="shared" si="54"/>
        <v>3.6094921820949213</v>
      </c>
      <c r="CL55" s="1026">
        <f t="shared" si="54"/>
        <v>3.6094921820949213</v>
      </c>
      <c r="CM55" s="1026">
        <f t="shared" si="54"/>
        <v>3.6094921820949213</v>
      </c>
      <c r="CN55" s="1026">
        <f t="shared" si="54"/>
        <v>3.6094921820949213</v>
      </c>
      <c r="CO55" s="1026">
        <f t="shared" si="54"/>
        <v>3.6094921820949213</v>
      </c>
      <c r="CP55" s="1026">
        <f t="shared" si="54"/>
        <v>3.6094921820949213</v>
      </c>
      <c r="CQ55" s="1026">
        <f t="shared" si="54"/>
        <v>3.6094921820949213</v>
      </c>
      <c r="CR55" s="1026">
        <f t="shared" si="54"/>
        <v>3.6094921820949213</v>
      </c>
      <c r="CS55" s="1026">
        <f t="shared" si="54"/>
        <v>3.6094921820949213</v>
      </c>
      <c r="CT55" s="1026">
        <f t="shared" si="54"/>
        <v>3.6094921820949213</v>
      </c>
      <c r="CU55" s="1026">
        <f t="shared" si="54"/>
        <v>3.6094921820949213</v>
      </c>
      <c r="CV55" s="1026">
        <f t="shared" si="54"/>
        <v>3.6094921820949213</v>
      </c>
      <c r="CW55" s="1026">
        <f t="shared" si="54"/>
        <v>3.6094921820949213</v>
      </c>
      <c r="CX55" s="1026">
        <f t="shared" si="54"/>
        <v>3.6094921820949213</v>
      </c>
      <c r="CY55" s="1026">
        <f t="shared" si="54"/>
        <v>3.6094921820949213</v>
      </c>
      <c r="CZ55" s="1026">
        <f t="shared" si="54"/>
        <v>3.6094921820949213</v>
      </c>
      <c r="DA55" s="1026">
        <f t="shared" si="54"/>
        <v>3.6094921820949213</v>
      </c>
      <c r="DB55" s="1026">
        <f t="shared" si="54"/>
        <v>3.6094921820949213</v>
      </c>
      <c r="DC55" s="1026">
        <f t="shared" si="54"/>
        <v>3.6094921820949213</v>
      </c>
      <c r="DD55" s="1026">
        <f t="shared" si="54"/>
        <v>3.6094921820949213</v>
      </c>
      <c r="DE55" s="1026">
        <f t="shared" si="54"/>
        <v>3.6094921820949213</v>
      </c>
      <c r="DF55" s="1026">
        <f t="shared" si="54"/>
        <v>3.6094921820949213</v>
      </c>
      <c r="DG55" s="1026">
        <f t="shared" si="54"/>
        <v>3.6094921820949213</v>
      </c>
      <c r="DH55" s="1026">
        <f t="shared" si="54"/>
        <v>3.6094921820949213</v>
      </c>
      <c r="DI55" s="1026">
        <f t="shared" si="54"/>
        <v>3.6094921820949213</v>
      </c>
      <c r="DJ55" s="1026">
        <f t="shared" si="54"/>
        <v>3.6094921820949213</v>
      </c>
      <c r="DK55" s="1026">
        <f t="shared" si="54"/>
        <v>3.6094921820949213</v>
      </c>
      <c r="DL55" s="1026">
        <f t="shared" si="54"/>
        <v>3.6094921820949213</v>
      </c>
      <c r="DM55" s="1026">
        <f t="shared" si="54"/>
        <v>3.6094921820949213</v>
      </c>
      <c r="DN55" s="1026">
        <f t="shared" si="54"/>
        <v>3.6094921820949213</v>
      </c>
      <c r="DO55" s="1026">
        <f aca="true" t="shared" si="55" ref="DO55:EF55">DO41/Vc</f>
        <v>3.6094921820949213</v>
      </c>
      <c r="DP55" s="1026">
        <f t="shared" si="55"/>
        <v>3.6094921820949213</v>
      </c>
      <c r="DQ55" s="1026">
        <f t="shared" si="55"/>
        <v>3.6094921820949213</v>
      </c>
      <c r="DR55" s="1026">
        <f t="shared" si="55"/>
        <v>3.6094921820949213</v>
      </c>
      <c r="DS55" s="1026">
        <f t="shared" si="55"/>
        <v>3.6094921820949213</v>
      </c>
      <c r="DT55" s="1026">
        <f t="shared" si="55"/>
        <v>3.6094921820949213</v>
      </c>
      <c r="DU55" s="1026">
        <f t="shared" si="55"/>
        <v>3.6094921820949213</v>
      </c>
      <c r="DV55" s="1026">
        <f t="shared" si="55"/>
        <v>3.6094921820949213</v>
      </c>
      <c r="DW55" s="1026">
        <f t="shared" si="55"/>
        <v>3.6094921820949213</v>
      </c>
      <c r="DX55" s="1026">
        <f t="shared" si="55"/>
        <v>3.6094921820949213</v>
      </c>
      <c r="DY55" s="1026">
        <f t="shared" si="55"/>
        <v>3.6094921820949213</v>
      </c>
      <c r="DZ55" s="1026">
        <f t="shared" si="55"/>
        <v>3.6094921820949213</v>
      </c>
      <c r="EA55" s="1026">
        <f t="shared" si="55"/>
        <v>3.6094921820949213</v>
      </c>
      <c r="EB55" s="1026">
        <f t="shared" si="55"/>
        <v>3.6094921820949213</v>
      </c>
      <c r="EC55" s="1026">
        <f t="shared" si="55"/>
        <v>3.6094921820949213</v>
      </c>
      <c r="ED55" s="1026">
        <f t="shared" si="55"/>
        <v>3.6094921820949213</v>
      </c>
      <c r="EE55" s="1026">
        <f t="shared" si="55"/>
        <v>3.6094921820949213</v>
      </c>
      <c r="EF55" s="1026">
        <f t="shared" si="55"/>
        <v>3.6094921820949213</v>
      </c>
      <c r="EG55" s="1026">
        <f>EG41/Vc</f>
        <v>3.6094921820949213</v>
      </c>
      <c r="EH55" s="1026"/>
      <c r="EI55" s="1026"/>
      <c r="EJ55" s="1026">
        <f>EJ41/Vc</f>
        <v>0.9023730455237303</v>
      </c>
    </row>
    <row r="56" spans="1:140" ht="12.75">
      <c r="A56" s="342"/>
      <c r="B56" s="342"/>
      <c r="C56" s="342"/>
      <c r="D56" s="342"/>
      <c r="E56" s="342"/>
      <c r="F56" s="342"/>
      <c r="G56" s="342"/>
      <c r="H56" s="342"/>
      <c r="I56" s="342"/>
      <c r="J56" s="342"/>
      <c r="K56" s="342"/>
      <c r="L56" s="342"/>
      <c r="M56" s="342"/>
      <c r="N56" s="342"/>
      <c r="O56" s="342"/>
      <c r="P56" s="342"/>
      <c r="Q56" s="342"/>
      <c r="AA56" s="713"/>
      <c r="AB56" s="1021"/>
      <c r="AC56" s="1016"/>
      <c r="AD56" s="1032"/>
      <c r="AE56" s="101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6"/>
      <c r="BB56" s="1026"/>
      <c r="BC56" s="1026"/>
      <c r="BD56" s="1026"/>
      <c r="BE56" s="1026"/>
      <c r="BF56" s="1026"/>
      <c r="BG56" s="1026"/>
      <c r="BH56" s="1026"/>
      <c r="BI56" s="1026"/>
      <c r="BJ56" s="1026"/>
      <c r="BK56" s="1026"/>
      <c r="BL56" s="1026"/>
      <c r="BM56" s="1026"/>
      <c r="BN56" s="1026"/>
      <c r="BO56" s="1026"/>
      <c r="BP56" s="1026"/>
      <c r="BQ56" s="1026"/>
      <c r="BR56" s="1026"/>
      <c r="BS56" s="1026"/>
      <c r="BT56" s="1026"/>
      <c r="BU56" s="1026"/>
      <c r="BV56" s="1026"/>
      <c r="BW56" s="1026"/>
      <c r="BX56" s="1026"/>
      <c r="BY56" s="1026"/>
      <c r="BZ56" s="1026"/>
      <c r="CA56" s="1026"/>
      <c r="CB56" s="1026"/>
      <c r="CC56" s="1026"/>
      <c r="CD56" s="1026"/>
      <c r="CE56" s="1026"/>
      <c r="CF56" s="1026"/>
      <c r="CG56" s="1026"/>
      <c r="CH56" s="1026"/>
      <c r="CI56" s="1026"/>
      <c r="CJ56" s="1026"/>
      <c r="CK56" s="1026"/>
      <c r="CL56" s="1026"/>
      <c r="CM56" s="1026"/>
      <c r="CN56" s="1026"/>
      <c r="CO56" s="1026"/>
      <c r="CP56" s="1026"/>
      <c r="CQ56" s="1026"/>
      <c r="CR56" s="1026"/>
      <c r="CS56" s="1026"/>
      <c r="CT56" s="1026"/>
      <c r="CU56" s="1026"/>
      <c r="CV56" s="1026"/>
      <c r="CW56" s="1026"/>
      <c r="CX56" s="1026"/>
      <c r="CY56" s="1026"/>
      <c r="CZ56" s="1026"/>
      <c r="DA56" s="1026"/>
      <c r="DB56" s="1026"/>
      <c r="DC56" s="1026"/>
      <c r="DD56" s="1026"/>
      <c r="DE56" s="1026"/>
      <c r="DF56" s="1026"/>
      <c r="DG56" s="1026"/>
      <c r="DH56" s="1026"/>
      <c r="DI56" s="1026"/>
      <c r="DJ56" s="1026"/>
      <c r="DK56" s="1026"/>
      <c r="DL56" s="1026"/>
      <c r="DM56" s="1026"/>
      <c r="DN56" s="1026"/>
      <c r="DO56" s="1026"/>
      <c r="DP56" s="1026"/>
      <c r="DQ56" s="1026"/>
      <c r="DR56" s="1026"/>
      <c r="DS56" s="1026"/>
      <c r="DT56" s="1026"/>
      <c r="DU56" s="1026"/>
      <c r="DV56" s="1026"/>
      <c r="DW56" s="1026"/>
      <c r="DX56" s="1026"/>
      <c r="DY56" s="1026"/>
      <c r="DZ56" s="1026"/>
      <c r="EA56" s="1026"/>
      <c r="EB56" s="1026"/>
      <c r="EC56" s="1026"/>
      <c r="ED56" s="1026"/>
      <c r="EE56" s="1026"/>
      <c r="EF56" s="1026"/>
      <c r="EG56" s="1026"/>
      <c r="EH56" s="1026"/>
      <c r="EI56" s="1026"/>
      <c r="EJ56" s="1026"/>
    </row>
    <row r="57" spans="1:140" s="1035" customFormat="1" ht="15">
      <c r="A57" s="548"/>
      <c r="B57" s="580" t="s">
        <v>691</v>
      </c>
      <c r="C57" s="342"/>
      <c r="D57" s="342"/>
      <c r="E57" s="342"/>
      <c r="F57" s="342"/>
      <c r="G57" s="342"/>
      <c r="H57" s="342"/>
      <c r="I57" s="548"/>
      <c r="J57" s="548"/>
      <c r="K57" s="548"/>
      <c r="L57" s="548"/>
      <c r="M57" s="548"/>
      <c r="N57" s="548"/>
      <c r="O57" s="548"/>
      <c r="P57" s="548"/>
      <c r="Q57" s="548"/>
      <c r="AB57" s="1036" t="s">
        <v>47</v>
      </c>
      <c r="AC57" s="1037"/>
      <c r="AD57" s="1038">
        <f>AD51+AD52+AD53</f>
        <v>647.244278928776</v>
      </c>
      <c r="AE57" s="1037">
        <f>AE51+AE52+AE53</f>
        <v>765.7131312196846</v>
      </c>
      <c r="AF57" s="1039"/>
      <c r="AG57" s="1039"/>
      <c r="AH57" s="1039">
        <f>AH51+AH52+AH53</f>
        <v>0</v>
      </c>
      <c r="AI57" s="1039">
        <f>AI51+AI52+AI53</f>
        <v>3545.478821934427</v>
      </c>
      <c r="AJ57" s="1039">
        <f>AJ51+AJ52+AJ53</f>
        <v>6492.254327884742</v>
      </c>
      <c r="AK57" s="1039">
        <f>AK51+AK52+AK53</f>
        <v>7340.116987641726</v>
      </c>
      <c r="AL57" s="1039">
        <f aca="true" t="shared" si="56" ref="AL57:AU57">AL51+AL52+AL53</f>
        <v>7412.221286691312</v>
      </c>
      <c r="AM57" s="1039">
        <f t="shared" si="56"/>
        <v>7203.355127182881</v>
      </c>
      <c r="AN57" s="1039">
        <f t="shared" si="56"/>
        <v>6897.529964238749</v>
      </c>
      <c r="AO57" s="1039">
        <f t="shared" si="56"/>
        <v>6564.798960387969</v>
      </c>
      <c r="AP57" s="1039">
        <f t="shared" si="56"/>
        <v>6232.153035545318</v>
      </c>
      <c r="AQ57" s="1039">
        <f t="shared" si="56"/>
        <v>5909.852866948566</v>
      </c>
      <c r="AR57" s="1039">
        <f t="shared" si="56"/>
        <v>5601.533857278557</v>
      </c>
      <c r="AS57" s="1039">
        <f t="shared" si="56"/>
        <v>5308.181345288102</v>
      </c>
      <c r="AT57" s="1039">
        <f t="shared" si="56"/>
        <v>5029.722929229443</v>
      </c>
      <c r="AU57" s="1039">
        <f t="shared" si="56"/>
        <v>4765.674497549764</v>
      </c>
      <c r="AV57" s="1039">
        <f aca="true" t="shared" si="57" ref="AV57:CE57">AV51+AV52+AV53</f>
        <v>4515.404428876836</v>
      </c>
      <c r="AW57" s="1039">
        <f t="shared" si="57"/>
        <v>4278.241855517271</v>
      </c>
      <c r="AX57" s="1039">
        <f t="shared" si="57"/>
        <v>4053.5206647427835</v>
      </c>
      <c r="AY57" s="1039">
        <f t="shared" si="57"/>
        <v>3840.596847712316</v>
      </c>
      <c r="AZ57" s="1039">
        <f t="shared" si="57"/>
        <v>3638.8547579655583</v>
      </c>
      <c r="BA57" s="1039">
        <f t="shared" si="57"/>
        <v>3447.7087620923976</v>
      </c>
      <c r="BB57" s="1039">
        <f t="shared" si="57"/>
        <v>3266.6029969748743</v>
      </c>
      <c r="BC57" s="1039">
        <f t="shared" si="57"/>
        <v>3095.01037410516</v>
      </c>
      <c r="BD57" s="1039">
        <f t="shared" si="57"/>
        <v>2932.431310681961</v>
      </c>
      <c r="BE57" s="1039">
        <f t="shared" si="57"/>
        <v>2778.3923885838503</v>
      </c>
      <c r="BF57" s="1039">
        <f t="shared" si="57"/>
        <v>2632.445024479182</v>
      </c>
      <c r="BG57" s="1039">
        <f t="shared" si="57"/>
        <v>2494.1641843957023</v>
      </c>
      <c r="BH57" s="1039">
        <f t="shared" si="57"/>
        <v>2363.147154915375</v>
      </c>
      <c r="BI57" s="1039">
        <f t="shared" si="57"/>
        <v>2239.0123742339347</v>
      </c>
      <c r="BJ57" s="1039">
        <f t="shared" si="57"/>
        <v>2121.398322608193</v>
      </c>
      <c r="BK57" s="1039">
        <f t="shared" si="57"/>
        <v>2009.962470218546</v>
      </c>
      <c r="BL57" s="1039">
        <f t="shared" si="57"/>
        <v>1904.3802799246755</v>
      </c>
      <c r="BM57" s="1039">
        <f t="shared" si="57"/>
        <v>1804.3442622439102</v>
      </c>
      <c r="BN57" s="1039">
        <f t="shared" si="57"/>
        <v>1709.5630799009648</v>
      </c>
      <c r="BO57" s="1039">
        <f t="shared" si="57"/>
        <v>1619.7606993848472</v>
      </c>
      <c r="BP57" s="1039">
        <f t="shared" si="57"/>
        <v>1534.6755870608577</v>
      </c>
      <c r="BQ57" s="1039">
        <f t="shared" si="57"/>
        <v>1454.0599475046683</v>
      </c>
      <c r="BR57" s="1039">
        <f t="shared" si="57"/>
        <v>1377.679001843811</v>
      </c>
      <c r="BS57" s="1039">
        <f t="shared" si="57"/>
        <v>1305.3103040064084</v>
      </c>
      <c r="BT57" s="1039">
        <f t="shared" si="57"/>
        <v>1236.7430928864958</v>
      </c>
      <c r="BU57" s="1039">
        <f t="shared" si="57"/>
        <v>1171.77767853954</v>
      </c>
      <c r="BV57" s="1039">
        <f t="shared" si="57"/>
        <v>1110.2248606206633</v>
      </c>
      <c r="BW57" s="1039">
        <f t="shared" si="57"/>
        <v>1051.905377371946</v>
      </c>
      <c r="BX57" s="1039">
        <f t="shared" si="57"/>
        <v>996.6493835540898</v>
      </c>
      <c r="BY57" s="1039">
        <f t="shared" si="57"/>
        <v>944.2959558020377</v>
      </c>
      <c r="BZ57" s="1039">
        <f t="shared" si="57"/>
        <v>894.6926239639708</v>
      </c>
      <c r="CA57" s="1039">
        <f t="shared" si="57"/>
        <v>847.694927058807</v>
      </c>
      <c r="CB57" s="1039">
        <f t="shared" si="57"/>
        <v>803.165992558997</v>
      </c>
      <c r="CC57" s="1039">
        <f t="shared" si="57"/>
        <v>760.9761377733571</v>
      </c>
      <c r="CD57" s="1039">
        <f t="shared" si="57"/>
        <v>721.0024921690376</v>
      </c>
      <c r="CE57" s="1039">
        <f t="shared" si="57"/>
        <v>683.1286395327015</v>
      </c>
      <c r="CF57" s="1039">
        <f>CF51+CF52+CF53</f>
        <v>647.2442789287763</v>
      </c>
      <c r="CG57" s="1040"/>
      <c r="CH57" s="1040"/>
      <c r="CI57" s="1039">
        <f>CI51+CI52+CI53</f>
        <v>0</v>
      </c>
      <c r="CJ57" s="1039">
        <f>CJ51+CJ52+CJ53</f>
        <v>0.007589775972542481</v>
      </c>
      <c r="CK57" s="1039">
        <f>CK51+CK52+CK53</f>
        <v>52.7774635505668</v>
      </c>
      <c r="CL57" s="1039">
        <f>CL51+CL52+CL53</f>
        <v>791.903257011427</v>
      </c>
      <c r="CM57" s="1039">
        <f>CM51+CM52+CM53</f>
        <v>2572.1380486065764</v>
      </c>
      <c r="CN57" s="1039">
        <f aca="true" t="shared" si="58" ref="CN57:EF57">CN51+CN52+CN53</f>
        <v>4576.855264902886</v>
      </c>
      <c r="CO57" s="1039">
        <f t="shared" si="58"/>
        <v>5876.009475627611</v>
      </c>
      <c r="CP57" s="1039">
        <f t="shared" si="58"/>
        <v>6539.414808753179</v>
      </c>
      <c r="CQ57" s="1039">
        <f t="shared" si="58"/>
        <v>6746.00976672927</v>
      </c>
      <c r="CR57" s="1039">
        <f t="shared" si="58"/>
        <v>6682.277901568128</v>
      </c>
      <c r="CS57" s="1039">
        <f t="shared" si="58"/>
        <v>6477.964005327448</v>
      </c>
      <c r="CT57" s="1039">
        <f t="shared" si="58"/>
        <v>6209.429250803756</v>
      </c>
      <c r="CU57" s="1039">
        <f t="shared" si="58"/>
        <v>5917.556970492178</v>
      </c>
      <c r="CV57" s="1039">
        <f t="shared" si="58"/>
        <v>5622.842159328408</v>
      </c>
      <c r="CW57" s="1039">
        <f t="shared" si="58"/>
        <v>5334.967663002266</v>
      </c>
      <c r="CX57" s="1039">
        <f t="shared" si="58"/>
        <v>5058.169245199177</v>
      </c>
      <c r="CY57" s="1039">
        <f t="shared" si="58"/>
        <v>4794.038438790334</v>
      </c>
      <c r="CZ57" s="1039">
        <f t="shared" si="58"/>
        <v>4542.92341727609</v>
      </c>
      <c r="DA57" s="1039">
        <f t="shared" si="58"/>
        <v>4304.60815207954</v>
      </c>
      <c r="DB57" s="1039">
        <f t="shared" si="58"/>
        <v>4078.63428740729</v>
      </c>
      <c r="DC57" s="1039">
        <f t="shared" si="58"/>
        <v>3864.4508250552426</v>
      </c>
      <c r="DD57" s="1039">
        <f t="shared" si="58"/>
        <v>3661.4824181644562</v>
      </c>
      <c r="DE57" s="1039">
        <f t="shared" si="58"/>
        <v>3469.1597581782617</v>
      </c>
      <c r="DF57" s="1039">
        <f t="shared" si="58"/>
        <v>3286.9325206498356</v>
      </c>
      <c r="DG57" s="1039">
        <f t="shared" si="58"/>
        <v>3114.274377007333</v>
      </c>
      <c r="DH57" s="1039">
        <f t="shared" si="58"/>
        <v>2950.6844440712916</v>
      </c>
      <c r="DI57" s="1039">
        <f t="shared" si="58"/>
        <v>2795.687165058158</v>
      </c>
      <c r="DJ57" s="1039">
        <f t="shared" si="58"/>
        <v>2648.83152461769</v>
      </c>
      <c r="DK57" s="1039">
        <f t="shared" si="58"/>
        <v>2509.690003374347</v>
      </c>
      <c r="DL57" s="1039">
        <f t="shared" si="58"/>
        <v>2377.8574523438856</v>
      </c>
      <c r="DM57" s="1039">
        <f t="shared" si="58"/>
        <v>2252.9499661820746</v>
      </c>
      <c r="DN57" s="1039">
        <f t="shared" si="58"/>
        <v>2134.6037887548564</v>
      </c>
      <c r="DO57" s="1039">
        <f t="shared" si="58"/>
        <v>2022.4742642474584</v>
      </c>
      <c r="DP57" s="1039">
        <f t="shared" si="58"/>
        <v>1916.2348380627363</v>
      </c>
      <c r="DQ57" s="1039">
        <f t="shared" si="58"/>
        <v>1815.576107846701</v>
      </c>
      <c r="DR57" s="1039">
        <f t="shared" si="58"/>
        <v>1720.2049233194325</v>
      </c>
      <c r="DS57" s="1039">
        <f t="shared" si="58"/>
        <v>1629.8435329292324</v>
      </c>
      <c r="DT57" s="1039">
        <f t="shared" si="58"/>
        <v>1544.2287751280796</v>
      </c>
      <c r="DU57" s="1039">
        <f t="shared" si="58"/>
        <v>1463.1113120385317</v>
      </c>
      <c r="DV57" s="1039">
        <f t="shared" si="58"/>
        <v>1386.2549033357177</v>
      </c>
      <c r="DW57" s="1039">
        <f t="shared" si="58"/>
        <v>1313.4357182542558</v>
      </c>
      <c r="DX57" s="1039">
        <f t="shared" si="58"/>
        <v>1244.4416837272734</v>
      </c>
      <c r="DY57" s="1039">
        <f t="shared" si="58"/>
        <v>1179.0718667638707</v>
      </c>
      <c r="DZ57" s="1039">
        <f t="shared" si="58"/>
        <v>1117.135889268438</v>
      </c>
      <c r="EA57" s="1039">
        <f t="shared" si="58"/>
        <v>1058.4533735985067</v>
      </c>
      <c r="EB57" s="1039">
        <f t="shared" si="58"/>
        <v>1002.8534172468443</v>
      </c>
      <c r="EC57" s="1039">
        <f t="shared" si="58"/>
        <v>950.1740951180655</v>
      </c>
      <c r="ED57" s="1039">
        <f t="shared" si="58"/>
        <v>900.2619879503193</v>
      </c>
      <c r="EE57" s="1039">
        <f t="shared" si="58"/>
        <v>852.9717355086868</v>
      </c>
      <c r="EF57" s="1039">
        <f t="shared" si="58"/>
        <v>808.1656132490709</v>
      </c>
      <c r="EG57" s="1039">
        <f>EG51+EG52+EG53</f>
        <v>765.713131219685</v>
      </c>
      <c r="EH57" s="1039"/>
      <c r="EI57" s="1039"/>
      <c r="EJ57" s="1039">
        <f>EJ51+EJ52+EJ53</f>
        <v>10.481752407073742</v>
      </c>
    </row>
    <row r="58" spans="1:140" ht="15">
      <c r="A58" s="342"/>
      <c r="B58" s="342"/>
      <c r="C58" s="342"/>
      <c r="D58" s="712" t="s">
        <v>642</v>
      </c>
      <c r="E58" s="342"/>
      <c r="F58" s="342"/>
      <c r="G58" s="342"/>
      <c r="H58" s="342"/>
      <c r="I58" s="342"/>
      <c r="J58" s="342"/>
      <c r="K58" s="342"/>
      <c r="L58" s="542">
        <v>800</v>
      </c>
      <c r="M58" s="342"/>
      <c r="N58" s="342"/>
      <c r="O58" s="342"/>
      <c r="P58" s="342"/>
      <c r="Q58" s="342"/>
      <c r="AC58" s="1024"/>
      <c r="AD58" s="1041"/>
      <c r="AE58" s="1026"/>
      <c r="AF58" s="1026"/>
      <c r="AG58" s="1026"/>
      <c r="AH58" s="1026"/>
      <c r="AI58" s="1026"/>
      <c r="AJ58" s="1026"/>
      <c r="AK58" s="1026"/>
      <c r="AL58" s="1026"/>
      <c r="AM58" s="1031"/>
      <c r="CG58" s="766"/>
      <c r="CH58" s="766"/>
      <c r="EJ58" s="1035"/>
    </row>
    <row r="59" spans="1:86" ht="15">
      <c r="A59" s="342"/>
      <c r="B59" s="342"/>
      <c r="C59" s="342"/>
      <c r="D59" s="712" t="s">
        <v>643</v>
      </c>
      <c r="E59" s="342"/>
      <c r="F59" s="342"/>
      <c r="G59" s="342"/>
      <c r="H59" s="342"/>
      <c r="I59" s="342"/>
      <c r="J59" s="342"/>
      <c r="K59" s="342"/>
      <c r="L59" s="542">
        <v>12</v>
      </c>
      <c r="M59" s="342"/>
      <c r="N59" s="342"/>
      <c r="O59" s="342"/>
      <c r="P59" s="342"/>
      <c r="Q59" s="342"/>
      <c r="AC59" s="1024"/>
      <c r="AD59" s="1041"/>
      <c r="AE59" s="1026"/>
      <c r="AF59" s="1026"/>
      <c r="AG59" s="1026"/>
      <c r="AH59" s="1026"/>
      <c r="AI59" s="1026"/>
      <c r="AJ59" s="1026"/>
      <c r="AK59" s="1026"/>
      <c r="AL59" s="1026"/>
      <c r="AM59" s="1026"/>
      <c r="CG59" s="766"/>
      <c r="CH59" s="766"/>
    </row>
    <row r="60" spans="1:86" ht="12.75">
      <c r="A60" s="342"/>
      <c r="B60" s="342"/>
      <c r="C60" s="342"/>
      <c r="D60" s="342"/>
      <c r="E60" s="342"/>
      <c r="F60" s="342"/>
      <c r="G60" s="342"/>
      <c r="H60" s="342"/>
      <c r="I60" s="342"/>
      <c r="J60" s="342"/>
      <c r="K60" s="342"/>
      <c r="L60" s="342"/>
      <c r="M60" s="342"/>
      <c r="N60" s="342"/>
      <c r="O60" s="342"/>
      <c r="P60" s="342"/>
      <c r="Q60" s="342"/>
      <c r="AC60" s="1042" t="s">
        <v>206</v>
      </c>
      <c r="AD60" s="1041">
        <f>(1+4*lambda*[0]!alpha.x/[0]!Vc)^0.5</f>
        <v>1.3771653826315728</v>
      </c>
      <c r="AE60" s="1026"/>
      <c r="AF60" s="1043">
        <f>(1+4*0*[0]!alpha.x/[0]!Vc)^0.5</f>
        <v>1</v>
      </c>
      <c r="AK60" s="1026"/>
      <c r="AL60" s="1026"/>
      <c r="AM60" s="1026"/>
      <c r="CG60" s="766"/>
      <c r="CH60" s="766"/>
    </row>
    <row r="61" spans="1:87" ht="12.75">
      <c r="A61" s="342"/>
      <c r="B61" s="342"/>
      <c r="C61" s="342"/>
      <c r="D61" s="342"/>
      <c r="E61" s="342"/>
      <c r="F61" s="342"/>
      <c r="G61" s="342"/>
      <c r="H61" s="342"/>
      <c r="I61" s="342"/>
      <c r="J61" s="342"/>
      <c r="K61" s="342"/>
      <c r="L61" s="342"/>
      <c r="M61" s="342"/>
      <c r="N61" s="342"/>
      <c r="O61" s="342"/>
      <c r="P61" s="342"/>
      <c r="Q61" s="342"/>
      <c r="AB61" s="1044" t="s">
        <v>134</v>
      </c>
      <c r="AD61" s="1045"/>
      <c r="AE61" s="1026"/>
      <c r="AF61" s="1026"/>
      <c r="AG61" s="1026"/>
      <c r="AH61" s="1026"/>
      <c r="AI61" s="1026"/>
      <c r="AJ61" s="1026"/>
      <c r="AK61" s="1026"/>
      <c r="AL61" s="1026"/>
      <c r="AM61" s="1026"/>
      <c r="CG61" s="766"/>
      <c r="CH61" s="766"/>
      <c r="CI61" s="524" t="s">
        <v>262</v>
      </c>
    </row>
    <row r="62" spans="1:140" ht="12.75">
      <c r="A62" s="342"/>
      <c r="B62" s="342"/>
      <c r="C62" s="342"/>
      <c r="D62" s="342"/>
      <c r="E62" s="342"/>
      <c r="F62" s="342"/>
      <c r="G62" s="342"/>
      <c r="H62" s="342"/>
      <c r="I62" s="342"/>
      <c r="J62" s="342"/>
      <c r="K62" s="342"/>
      <c r="L62" s="342"/>
      <c r="M62" s="342"/>
      <c r="N62" s="342"/>
      <c r="O62" s="342"/>
      <c r="P62" s="342"/>
      <c r="Q62" s="342"/>
      <c r="AB62" s="1046" t="s">
        <v>123</v>
      </c>
      <c r="AC62" s="1031"/>
      <c r="AD62" s="1047">
        <f>EXP(AD$41/2/[0]!alpha.x*(1-erfcconst3_1))</f>
        <v>0.496179966150932</v>
      </c>
      <c r="AE62" s="1031">
        <f>EXP(AE$41/2/[0]!alpha.x*(1-erfcconst3_1))</f>
        <v>0.060611760787424064</v>
      </c>
      <c r="AF62" s="1031"/>
      <c r="AG62" s="1031"/>
      <c r="AH62" s="1031">
        <f>EXP(AH$41/2/[0]!alpha.x*(1-erfcconst3_1))</f>
        <v>0.496179966150932</v>
      </c>
      <c r="AI62" s="1031">
        <f>EXP(AI$41/2/[0]!alpha.x*(1-erfcconst3_1))</f>
        <v>0.496179966150932</v>
      </c>
      <c r="AJ62" s="1031">
        <f>EXP(AJ$41/2/[0]!alpha.x*(1-erfcconst3_1))</f>
        <v>0.496179966150932</v>
      </c>
      <c r="AK62" s="1031">
        <f>EXP(AK$41/2/[0]!alpha.x*(1-erfcconst3_1))</f>
        <v>0.496179966150932</v>
      </c>
      <c r="AL62" s="1031">
        <f>EXP(AL$41/2/[0]!alpha.x*(1-erfcconst3_1))</f>
        <v>0.496179966150932</v>
      </c>
      <c r="AM62" s="1031">
        <f>EXP(AM$41/2/[0]!alpha.x*(1-erfcconst3_1))</f>
        <v>0.496179966150932</v>
      </c>
      <c r="AN62" s="1031">
        <f>EXP(AN$41/2/[0]!alpha.x*(1-erfcconst3_1))</f>
        <v>0.496179966150932</v>
      </c>
      <c r="AO62" s="1031">
        <f>EXP(AO$41/2/[0]!alpha.x*(1-erfcconst3_1))</f>
        <v>0.496179966150932</v>
      </c>
      <c r="AP62" s="1031">
        <f>EXP(AP$41/2/[0]!alpha.x*(1-erfcconst3_1))</f>
        <v>0.496179966150932</v>
      </c>
      <c r="AQ62" s="1031">
        <f>EXP(AQ$41/2/[0]!alpha.x*(1-erfcconst3_1))</f>
        <v>0.496179966150932</v>
      </c>
      <c r="AR62" s="1031">
        <f>EXP(AR$41/2/[0]!alpha.x*(1-erfcconst3_1))</f>
        <v>0.496179966150932</v>
      </c>
      <c r="AS62" s="1031">
        <f>EXP(AS$41/2/[0]!alpha.x*(1-erfcconst3_1))</f>
        <v>0.496179966150932</v>
      </c>
      <c r="AT62" s="1031">
        <f>EXP(AT$41/2/[0]!alpha.x*(1-erfcconst3_1))</f>
        <v>0.496179966150932</v>
      </c>
      <c r="AU62" s="1031">
        <f>EXP(AU$41/2/[0]!alpha.x*(1-erfcconst3_1))</f>
        <v>0.496179966150932</v>
      </c>
      <c r="AV62" s="1031">
        <f>EXP(AV$41/2/[0]!alpha.x*(1-erfcconst3_1))</f>
        <v>0.496179966150932</v>
      </c>
      <c r="AW62" s="1031">
        <f>EXP(AW$41/2/[0]!alpha.x*(1-erfcconst3_1))</f>
        <v>0.496179966150932</v>
      </c>
      <c r="AX62" s="1031">
        <f>EXP(AX$41/2/[0]!alpha.x*(1-erfcconst3_1))</f>
        <v>0.496179966150932</v>
      </c>
      <c r="AY62" s="1031">
        <f>EXP(AY$41/2/[0]!alpha.x*(1-erfcconst3_1))</f>
        <v>0.496179966150932</v>
      </c>
      <c r="AZ62" s="1031">
        <f>EXP(AZ$41/2/[0]!alpha.x*(1-erfcconst3_1))</f>
        <v>0.496179966150932</v>
      </c>
      <c r="BA62" s="1031">
        <f>EXP(BA$41/2/[0]!alpha.x*(1-erfcconst3_1))</f>
        <v>0.496179966150932</v>
      </c>
      <c r="BB62" s="1031">
        <f>EXP(BB$41/2/[0]!alpha.x*(1-erfcconst3_1))</f>
        <v>0.496179966150932</v>
      </c>
      <c r="BC62" s="1031">
        <f>EXP(BC$41/2/[0]!alpha.x*(1-erfcconst3_1))</f>
        <v>0.496179966150932</v>
      </c>
      <c r="BD62" s="1031">
        <f>EXP(BD$41/2/[0]!alpha.x*(1-erfcconst3_1))</f>
        <v>0.496179966150932</v>
      </c>
      <c r="BE62" s="1031">
        <f>EXP(BE$41/2/[0]!alpha.x*(1-erfcconst3_1))</f>
        <v>0.496179966150932</v>
      </c>
      <c r="BF62" s="1031">
        <f>EXP(BF$41/2/[0]!alpha.x*(1-erfcconst3_1))</f>
        <v>0.496179966150932</v>
      </c>
      <c r="BG62" s="1031">
        <f>EXP(BG$41/2/[0]!alpha.x*(1-erfcconst3_1))</f>
        <v>0.496179966150932</v>
      </c>
      <c r="BH62" s="1031">
        <f>EXP(BH$41/2/[0]!alpha.x*(1-erfcconst3_1))</f>
        <v>0.496179966150932</v>
      </c>
      <c r="BI62" s="1031">
        <f>EXP(BI$41/2/[0]!alpha.x*(1-erfcconst3_1))</f>
        <v>0.496179966150932</v>
      </c>
      <c r="BJ62" s="1031">
        <f>EXP(BJ$41/2/[0]!alpha.x*(1-erfcconst3_1))</f>
        <v>0.496179966150932</v>
      </c>
      <c r="BK62" s="1031">
        <f>EXP(BK$41/2/[0]!alpha.x*(1-erfcconst3_1))</f>
        <v>0.496179966150932</v>
      </c>
      <c r="BL62" s="1031">
        <f>EXP(BL$41/2/[0]!alpha.x*(1-erfcconst3_1))</f>
        <v>0.496179966150932</v>
      </c>
      <c r="BM62" s="1031">
        <f>EXP(BM$41/2/[0]!alpha.x*(1-erfcconst3_1))</f>
        <v>0.496179966150932</v>
      </c>
      <c r="BN62" s="1031">
        <f>EXP(BN$41/2/[0]!alpha.x*(1-erfcconst3_1))</f>
        <v>0.496179966150932</v>
      </c>
      <c r="BO62" s="1031">
        <f>EXP(BO$41/2/[0]!alpha.x*(1-erfcconst3_1))</f>
        <v>0.496179966150932</v>
      </c>
      <c r="BP62" s="1031">
        <f>EXP(BP$41/2/[0]!alpha.x*(1-erfcconst3_1))</f>
        <v>0.496179966150932</v>
      </c>
      <c r="BQ62" s="1031">
        <f>EXP(BQ$41/2/[0]!alpha.x*(1-erfcconst3_1))</f>
        <v>0.496179966150932</v>
      </c>
      <c r="BR62" s="1031">
        <f>EXP(BR$41/2/[0]!alpha.x*(1-erfcconst3_1))</f>
        <v>0.496179966150932</v>
      </c>
      <c r="BS62" s="1031">
        <f>EXP(BS$41/2/[0]!alpha.x*(1-erfcconst3_1))</f>
        <v>0.496179966150932</v>
      </c>
      <c r="BT62" s="1031">
        <f>EXP(BT$41/2/[0]!alpha.x*(1-erfcconst3_1))</f>
        <v>0.496179966150932</v>
      </c>
      <c r="BU62" s="1031">
        <f>EXP(BU$41/2/[0]!alpha.x*(1-erfcconst3_1))</f>
        <v>0.496179966150932</v>
      </c>
      <c r="BV62" s="1031">
        <f>EXP(BV$41/2/[0]!alpha.x*(1-erfcconst3_1))</f>
        <v>0.496179966150932</v>
      </c>
      <c r="BW62" s="1031">
        <f>EXP(BW$41/2/[0]!alpha.x*(1-erfcconst3_1))</f>
        <v>0.496179966150932</v>
      </c>
      <c r="BX62" s="1031">
        <f>EXP(BX$41/2/[0]!alpha.x*(1-erfcconst3_1))</f>
        <v>0.496179966150932</v>
      </c>
      <c r="BY62" s="1031">
        <f>EXP(BY$41/2/[0]!alpha.x*(1-erfcconst3_1))</f>
        <v>0.496179966150932</v>
      </c>
      <c r="BZ62" s="1031">
        <f>EXP(BZ$41/2/[0]!alpha.x*(1-erfcconst3_1))</f>
        <v>0.496179966150932</v>
      </c>
      <c r="CA62" s="1031">
        <f>EXP(CA$41/2/[0]!alpha.x*(1-erfcconst3_1))</f>
        <v>0.496179966150932</v>
      </c>
      <c r="CB62" s="1031">
        <f>EXP(CB$41/2/[0]!alpha.x*(1-erfcconst3_1))</f>
        <v>0.496179966150932</v>
      </c>
      <c r="CC62" s="1031">
        <f>EXP(CC$41/2/[0]!alpha.x*(1-erfcconst3_1))</f>
        <v>0.496179966150932</v>
      </c>
      <c r="CD62" s="1031">
        <f>EXP(CD$41/2/[0]!alpha.x*(1-erfcconst3_1))</f>
        <v>0.496179966150932</v>
      </c>
      <c r="CE62" s="1031">
        <f>EXP(CE$41/2/[0]!alpha.x*(1-erfcconst3_1))</f>
        <v>0.496179966150932</v>
      </c>
      <c r="CF62" s="1031">
        <f>EXP(CF$41/2/[0]!alpha.x*(1-erfcconst3_1))</f>
        <v>0.496179966150932</v>
      </c>
      <c r="CG62" s="1048"/>
      <c r="CH62" s="1048"/>
      <c r="CI62" s="1031">
        <f>EXP(CI$41/2/[0]!alpha.x*(1-erfcconst3_1))</f>
        <v>0.060611760787424064</v>
      </c>
      <c r="CJ62" s="1031">
        <f>EXP(CJ$41/2/[0]!alpha.x*(1-erfcconst3_1))</f>
        <v>0.060611760787424064</v>
      </c>
      <c r="CK62" s="1031">
        <f>EXP(CK$41/2/[0]!alpha.x*(1-erfcconst3_1))</f>
        <v>0.060611760787424064</v>
      </c>
      <c r="CL62" s="1031">
        <f>EXP(CL$41/2/[0]!alpha.x*(1-erfcconst3_1))</f>
        <v>0.060611760787424064</v>
      </c>
      <c r="CM62" s="1031">
        <f>EXP(CM$41/2/[0]!alpha.x*(1-erfcconst3_1))</f>
        <v>0.060611760787424064</v>
      </c>
      <c r="CN62" s="1031">
        <f>EXP(CN$41/2/[0]!alpha.x*(1-erfcconst3_1))</f>
        <v>0.060611760787424064</v>
      </c>
      <c r="CO62" s="1031">
        <f>EXP(CO$41/2/[0]!alpha.x*(1-erfcconst3_1))</f>
        <v>0.060611760787424064</v>
      </c>
      <c r="CP62" s="1031">
        <f>EXP(CP$41/2/[0]!alpha.x*(1-erfcconst3_1))</f>
        <v>0.060611760787424064</v>
      </c>
      <c r="CQ62" s="1031">
        <f>EXP(CQ$41/2/[0]!alpha.x*(1-erfcconst3_1))</f>
        <v>0.060611760787424064</v>
      </c>
      <c r="CR62" s="1031">
        <f>EXP(CR$41/2/[0]!alpha.x*(1-erfcconst3_1))</f>
        <v>0.060611760787424064</v>
      </c>
      <c r="CS62" s="1031">
        <f>EXP(CS$41/2/[0]!alpha.x*(1-erfcconst3_1))</f>
        <v>0.060611760787424064</v>
      </c>
      <c r="CT62" s="1031">
        <f>EXP(CT$41/2/[0]!alpha.x*(1-erfcconst3_1))</f>
        <v>0.060611760787424064</v>
      </c>
      <c r="CU62" s="1031">
        <f>EXP(CU$41/2/[0]!alpha.x*(1-erfcconst3_1))</f>
        <v>0.060611760787424064</v>
      </c>
      <c r="CV62" s="1031">
        <f>EXP(CV$41/2/[0]!alpha.x*(1-erfcconst3_1))</f>
        <v>0.060611760787424064</v>
      </c>
      <c r="CW62" s="1031">
        <f>EXP(CW$41/2/[0]!alpha.x*(1-erfcconst3_1))</f>
        <v>0.060611760787424064</v>
      </c>
      <c r="CX62" s="1031">
        <f>EXP(CX$41/2/[0]!alpha.x*(1-erfcconst3_1))</f>
        <v>0.060611760787424064</v>
      </c>
      <c r="CY62" s="1031">
        <f>EXP(CY$41/2/[0]!alpha.x*(1-erfcconst3_1))</f>
        <v>0.060611760787424064</v>
      </c>
      <c r="CZ62" s="1031">
        <f>EXP(CZ$41/2/[0]!alpha.x*(1-erfcconst3_1))</f>
        <v>0.060611760787424064</v>
      </c>
      <c r="DA62" s="1031">
        <f>EXP(DA$41/2/[0]!alpha.x*(1-erfcconst3_1))</f>
        <v>0.060611760787424064</v>
      </c>
      <c r="DB62" s="1031">
        <f>EXP(DB$41/2/[0]!alpha.x*(1-erfcconst3_1))</f>
        <v>0.060611760787424064</v>
      </c>
      <c r="DC62" s="1031">
        <f>EXP(DC$41/2/[0]!alpha.x*(1-erfcconst3_1))</f>
        <v>0.060611760787424064</v>
      </c>
      <c r="DD62" s="1031">
        <f>EXP(DD$41/2/[0]!alpha.x*(1-erfcconst3_1))</f>
        <v>0.060611760787424064</v>
      </c>
      <c r="DE62" s="1031">
        <f>EXP(DE$41/2/[0]!alpha.x*(1-erfcconst3_1))</f>
        <v>0.060611760787424064</v>
      </c>
      <c r="DF62" s="1031">
        <f>EXP(DF$41/2/[0]!alpha.x*(1-erfcconst3_1))</f>
        <v>0.060611760787424064</v>
      </c>
      <c r="DG62" s="1031">
        <f>EXP(DG$41/2/[0]!alpha.x*(1-erfcconst3_1))</f>
        <v>0.060611760787424064</v>
      </c>
      <c r="DH62" s="1031">
        <f>EXP(DH$41/2/[0]!alpha.x*(1-erfcconst3_1))</f>
        <v>0.060611760787424064</v>
      </c>
      <c r="DI62" s="1031">
        <f>EXP(DI$41/2/[0]!alpha.x*(1-erfcconst3_1))</f>
        <v>0.060611760787424064</v>
      </c>
      <c r="DJ62" s="1031">
        <f>EXP(DJ$41/2/[0]!alpha.x*(1-erfcconst3_1))</f>
        <v>0.060611760787424064</v>
      </c>
      <c r="DK62" s="1031">
        <f>EXP(DK$41/2/[0]!alpha.x*(1-erfcconst3_1))</f>
        <v>0.060611760787424064</v>
      </c>
      <c r="DL62" s="1031">
        <f>EXP(DL$41/2/[0]!alpha.x*(1-erfcconst3_1))</f>
        <v>0.060611760787424064</v>
      </c>
      <c r="DM62" s="1031">
        <f>EXP(DM$41/2/[0]!alpha.x*(1-erfcconst3_1))</f>
        <v>0.060611760787424064</v>
      </c>
      <c r="DN62" s="1031">
        <f>EXP(DN$41/2/[0]!alpha.x*(1-erfcconst3_1))</f>
        <v>0.060611760787424064</v>
      </c>
      <c r="DO62" s="1031">
        <f>EXP(DO$41/2/[0]!alpha.x*(1-erfcconst3_1))</f>
        <v>0.060611760787424064</v>
      </c>
      <c r="DP62" s="1031">
        <f>EXP(DP$41/2/[0]!alpha.x*(1-erfcconst3_1))</f>
        <v>0.060611760787424064</v>
      </c>
      <c r="DQ62" s="1031">
        <f>EXP(DQ$41/2/[0]!alpha.x*(1-erfcconst3_1))</f>
        <v>0.060611760787424064</v>
      </c>
      <c r="DR62" s="1031">
        <f>EXP(DR$41/2/[0]!alpha.x*(1-erfcconst3_1))</f>
        <v>0.060611760787424064</v>
      </c>
      <c r="DS62" s="1031">
        <f>EXP(DS$41/2/[0]!alpha.x*(1-erfcconst3_1))</f>
        <v>0.060611760787424064</v>
      </c>
      <c r="DT62" s="1031">
        <f>EXP(DT$41/2/[0]!alpha.x*(1-erfcconst3_1))</f>
        <v>0.060611760787424064</v>
      </c>
      <c r="DU62" s="1031">
        <f>EXP(DU$41/2/[0]!alpha.x*(1-erfcconst3_1))</f>
        <v>0.060611760787424064</v>
      </c>
      <c r="DV62" s="1031">
        <f>EXP(DV$41/2/[0]!alpha.x*(1-erfcconst3_1))</f>
        <v>0.060611760787424064</v>
      </c>
      <c r="DW62" s="1031">
        <f>EXP(DW$41/2/[0]!alpha.x*(1-erfcconst3_1))</f>
        <v>0.060611760787424064</v>
      </c>
      <c r="DX62" s="1031">
        <f>EXP(DX$41/2/[0]!alpha.x*(1-erfcconst3_1))</f>
        <v>0.060611760787424064</v>
      </c>
      <c r="DY62" s="1031">
        <f>EXP(DY$41/2/[0]!alpha.x*(1-erfcconst3_1))</f>
        <v>0.060611760787424064</v>
      </c>
      <c r="DZ62" s="1031">
        <f>EXP(DZ$41/2/[0]!alpha.x*(1-erfcconst3_1))</f>
        <v>0.060611760787424064</v>
      </c>
      <c r="EA62" s="1031">
        <f>EXP(EA$41/2/[0]!alpha.x*(1-erfcconst3_1))</f>
        <v>0.060611760787424064</v>
      </c>
      <c r="EB62" s="1031">
        <f>EXP(EB$41/2/[0]!alpha.x*(1-erfcconst3_1))</f>
        <v>0.060611760787424064</v>
      </c>
      <c r="EC62" s="1031">
        <f>EXP(EC$41/2/[0]!alpha.x*(1-erfcconst3_1))</f>
        <v>0.060611760787424064</v>
      </c>
      <c r="ED62" s="1031">
        <f>EXP(ED$41/2/[0]!alpha.x*(1-erfcconst3_1))</f>
        <v>0.060611760787424064</v>
      </c>
      <c r="EE62" s="1031">
        <f>EXP(EE$41/2/[0]!alpha.x*(1-erfcconst3_1))</f>
        <v>0.060611760787424064</v>
      </c>
      <c r="EF62" s="1031">
        <f>EXP(EF$41/2/[0]!alpha.x*(1-erfcconst3_1))</f>
        <v>0.060611760787424064</v>
      </c>
      <c r="EG62" s="1031">
        <f>EXP(EG$41/2/[0]!alpha.x*(1-erfcconst3_1))</f>
        <v>0.060611760787424064</v>
      </c>
      <c r="EH62" s="1031"/>
      <c r="EI62" s="1031"/>
      <c r="EJ62" s="1031">
        <f>EXP(EJ$41/2/[0]!alpha.x*(1-erfcconst3_1))</f>
        <v>0.496179966150932</v>
      </c>
    </row>
    <row r="63" spans="1:140" ht="12.75">
      <c r="A63" s="342"/>
      <c r="B63" s="342"/>
      <c r="C63" s="342"/>
      <c r="D63" s="342"/>
      <c r="E63" s="342"/>
      <c r="F63" s="342"/>
      <c r="G63" s="342"/>
      <c r="H63" s="342"/>
      <c r="I63" s="342"/>
      <c r="J63" s="342"/>
      <c r="K63" s="342"/>
      <c r="L63" s="342"/>
      <c r="M63" s="342"/>
      <c r="N63" s="342"/>
      <c r="O63" s="342"/>
      <c r="P63" s="342"/>
      <c r="Q63" s="342"/>
      <c r="AB63" s="1042" t="s">
        <v>124</v>
      </c>
      <c r="AC63" s="1026"/>
      <c r="AD63" s="1041">
        <f>(AD$41-Vc*t_sim*erfcconst3_1)/erfcconst2_1</f>
        <v>-8.349399953880365</v>
      </c>
      <c r="AE63" s="1026">
        <f>(AE$41-Vc*t_sim*erfcconst3_1)/erfcconst2_1</f>
        <v>-7.897819927810877</v>
      </c>
      <c r="AF63" s="1026"/>
      <c r="AG63" s="1026"/>
      <c r="AH63" s="1026">
        <f aca="true" t="shared" si="59" ref="AH63:BM63">(AH$41-Vc*AH40*erfcconst3_1)/AH38</f>
        <v>28.91019510570624</v>
      </c>
      <c r="AI63" s="1026">
        <f t="shared" si="59"/>
        <v>-0.13918662132927043</v>
      </c>
      <c r="AJ63" s="1026">
        <f t="shared" si="59"/>
        <v>-0.9481471849039883</v>
      </c>
      <c r="AK63" s="1026">
        <f t="shared" si="59"/>
        <v>-1.4680965381237832</v>
      </c>
      <c r="AL63" s="1026">
        <f t="shared" si="59"/>
        <v>-1.8724064131259452</v>
      </c>
      <c r="AM63" s="1026">
        <f t="shared" si="59"/>
        <v>-2.212290437170065</v>
      </c>
      <c r="AN63" s="1026">
        <f t="shared" si="59"/>
        <v>-2.510262708211037</v>
      </c>
      <c r="AO63" s="1026">
        <f t="shared" si="59"/>
        <v>-2.7783792528537194</v>
      </c>
      <c r="AP63" s="1026">
        <f t="shared" si="59"/>
        <v>-3.0239218641841834</v>
      </c>
      <c r="AQ63" s="1026">
        <f t="shared" si="59"/>
        <v>-3.2516625161617765</v>
      </c>
      <c r="AR63" s="1026">
        <f t="shared" si="59"/>
        <v>-3.464918532477152</v>
      </c>
      <c r="AS63" s="1026">
        <f t="shared" si="59"/>
        <v>-3.6661014166964625</v>
      </c>
      <c r="AT63" s="1026">
        <f t="shared" si="59"/>
        <v>-3.8570266663635553</v>
      </c>
      <c r="AU63" s="1026">
        <f t="shared" si="59"/>
        <v>-4.039100124131916</v>
      </c>
      <c r="AV63" s="1026">
        <f t="shared" si="59"/>
        <v>-4.213435900875966</v>
      </c>
      <c r="AW63" s="1026">
        <f t="shared" si="59"/>
        <v>-4.380934161083586</v>
      </c>
      <c r="AX63" s="1026">
        <f t="shared" si="59"/>
        <v>-4.542334239763553</v>
      </c>
      <c r="AY63" s="1026">
        <f t="shared" si="59"/>
        <v>-4.698251993204705</v>
      </c>
      <c r="AZ63" s="1026">
        <f t="shared" si="59"/>
        <v>-4.849206732151446</v>
      </c>
      <c r="BA63" s="1026">
        <f t="shared" si="59"/>
        <v>-4.995641071225784</v>
      </c>
      <c r="BB63" s="1026">
        <f t="shared" si="59"/>
        <v>-5.137935839755425</v>
      </c>
      <c r="BC63" s="1026">
        <f t="shared" si="59"/>
        <v>-5.27642147319015</v>
      </c>
      <c r="BD63" s="1026">
        <f t="shared" si="59"/>
        <v>-5.411386847263952</v>
      </c>
      <c r="BE63" s="1026">
        <f t="shared" si="59"/>
        <v>-5.54308622154565</v>
      </c>
      <c r="BF63" s="1026">
        <f t="shared" si="59"/>
        <v>-5.671744763332786</v>
      </c>
      <c r="BG63" s="1026">
        <f t="shared" si="59"/>
        <v>-5.797562990464488</v>
      </c>
      <c r="BH63" s="1026">
        <f t="shared" si="59"/>
        <v>-5.920720380337789</v>
      </c>
      <c r="BI63" s="1026">
        <f t="shared" si="59"/>
        <v>-6.04137832834851</v>
      </c>
      <c r="BJ63" s="1026">
        <f t="shared" si="59"/>
        <v>-6.159682593302815</v>
      </c>
      <c r="BK63" s="1026">
        <f t="shared" si="59"/>
        <v>-6.275765334304668</v>
      </c>
      <c r="BL63" s="1026">
        <f t="shared" si="59"/>
        <v>-6.389746819402909</v>
      </c>
      <c r="BM63" s="1026">
        <f t="shared" si="59"/>
        <v>-6.501736868306173</v>
      </c>
      <c r="BN63" s="1026">
        <f aca="true" t="shared" si="60" ref="BN63:CF63">(BN$41-Vc*BN40*erfcconst3_1)/BN38</f>
        <v>-6.611836077981807</v>
      </c>
      <c r="BO63" s="1026">
        <f t="shared" si="60"/>
        <v>-6.720136869721058</v>
      </c>
      <c r="BP63" s="1026">
        <f t="shared" si="60"/>
        <v>-6.826724388414232</v>
      </c>
      <c r="BQ63" s="1026">
        <f t="shared" si="60"/>
        <v>-6.9316772787206515</v>
      </c>
      <c r="BR63" s="1026">
        <f t="shared" si="60"/>
        <v>-7.035068358095094</v>
      </c>
      <c r="BS63" s="1026">
        <f t="shared" si="60"/>
        <v>-7.13696520292108</v>
      </c>
      <c r="BT63" s="1026">
        <f t="shared" si="60"/>
        <v>-7.237430661063297</v>
      </c>
      <c r="BU63" s="1026">
        <f t="shared" si="60"/>
        <v>-7.3365233018090485</v>
      </c>
      <c r="BV63" s="1026">
        <f t="shared" si="60"/>
        <v>-7.434297812288862</v>
      </c>
      <c r="BW63" s="1026">
        <f t="shared" si="60"/>
        <v>-7.5308053479483785</v>
      </c>
      <c r="BX63" s="1026">
        <f t="shared" si="60"/>
        <v>-7.626093843410544</v>
      </c>
      <c r="BY63" s="1026">
        <f t="shared" si="60"/>
        <v>-7.720208289059839</v>
      </c>
      <c r="BZ63" s="1026">
        <f t="shared" si="60"/>
        <v>-7.81319097785321</v>
      </c>
      <c r="CA63" s="1026">
        <f t="shared" si="60"/>
        <v>-7.905081726179598</v>
      </c>
      <c r="CB63" s="1026">
        <f t="shared" si="60"/>
        <v>-7.9959180720239695</v>
      </c>
      <c r="CC63" s="1026">
        <f t="shared" si="60"/>
        <v>-8.085735453220073</v>
      </c>
      <c r="CD63" s="1026">
        <f t="shared" si="60"/>
        <v>-8.174567368181707</v>
      </c>
      <c r="CE63" s="1026">
        <f t="shared" si="60"/>
        <v>-8.2624455211707</v>
      </c>
      <c r="CF63" s="1026">
        <f t="shared" si="60"/>
        <v>-8.349399953880363</v>
      </c>
      <c r="CG63" s="1033"/>
      <c r="CH63" s="1033"/>
      <c r="CI63" s="1026">
        <f aca="true" t="shared" si="61" ref="CI63:DN63">(CI$41-Vc*CI40*erfcconst3_1)/CI38</f>
        <v>115.77334746596772</v>
      </c>
      <c r="CJ63" s="1026">
        <f t="shared" si="61"/>
        <v>3.0518540781898915</v>
      </c>
      <c r="CK63" s="1026">
        <f t="shared" si="61"/>
        <v>1.3090210095669537</v>
      </c>
      <c r="CL63" s="1026">
        <f t="shared" si="61"/>
        <v>0.3750810174044664</v>
      </c>
      <c r="CM63" s="1026">
        <f t="shared" si="61"/>
        <v>-0.2760779785094837</v>
      </c>
      <c r="CN63" s="1026">
        <f t="shared" si="61"/>
        <v>-0.7844426555559507</v>
      </c>
      <c r="CO63" s="1026">
        <f t="shared" si="61"/>
        <v>-1.2067926264626416</v>
      </c>
      <c r="CP63" s="1026">
        <f t="shared" si="61"/>
        <v>-1.5715810410242654</v>
      </c>
      <c r="CQ63" s="1026">
        <f t="shared" si="61"/>
        <v>-1.8950518849182096</v>
      </c>
      <c r="CR63" s="1026">
        <f t="shared" si="61"/>
        <v>-2.1873437063326002</v>
      </c>
      <c r="CS63" s="1026">
        <f t="shared" si="61"/>
        <v>-2.4552094742976363</v>
      </c>
      <c r="CT63" s="1026">
        <f t="shared" si="61"/>
        <v>-2.7033756907722832</v>
      </c>
      <c r="CU63" s="1026">
        <f t="shared" si="61"/>
        <v>-2.935282241285347</v>
      </c>
      <c r="CV63" s="1026">
        <f t="shared" si="61"/>
        <v>-3.1535128903408918</v>
      </c>
      <c r="CW63" s="1026">
        <f t="shared" si="61"/>
        <v>-3.360059521491987</v>
      </c>
      <c r="CX63" s="1026">
        <f t="shared" si="61"/>
        <v>-3.556491600620247</v>
      </c>
      <c r="CY63" s="1026">
        <f t="shared" si="61"/>
        <v>-3.7440689158887372</v>
      </c>
      <c r="CZ63" s="1026">
        <f t="shared" si="61"/>
        <v>-3.9238189524590874</v>
      </c>
      <c r="DA63" s="1026">
        <f t="shared" si="61"/>
        <v>-4.0965914359997395</v>
      </c>
      <c r="DB63" s="1026">
        <f t="shared" si="61"/>
        <v>-4.263097686598444</v>
      </c>
      <c r="DC63" s="1026">
        <f t="shared" si="61"/>
        <v>-4.42393959839663</v>
      </c>
      <c r="DD63" s="1026">
        <f t="shared" si="61"/>
        <v>-4.579631368245463</v>
      </c>
      <c r="DE63" s="1026">
        <f t="shared" si="61"/>
        <v>-4.730616051528526</v>
      </c>
      <c r="DF63" s="1026">
        <f t="shared" si="61"/>
        <v>-4.8772783595896</v>
      </c>
      <c r="DG63" s="1026">
        <f t="shared" si="61"/>
        <v>-5.019954681205172</v>
      </c>
      <c r="DH63" s="1026">
        <f t="shared" si="61"/>
        <v>-5.1589410230684996</v>
      </c>
      <c r="DI63" s="1026">
        <f t="shared" si="61"/>
        <v>-5.294499369097427</v>
      </c>
      <c r="DJ63" s="1026">
        <f t="shared" si="61"/>
        <v>-5.426862823475119</v>
      </c>
      <c r="DK63" s="1026">
        <f t="shared" si="61"/>
        <v>-5.556239807528965</v>
      </c>
      <c r="DL63" s="1026">
        <f t="shared" si="61"/>
        <v>-5.682817512915923</v>
      </c>
      <c r="DM63" s="1026">
        <f t="shared" si="61"/>
        <v>-5.806764764654155</v>
      </c>
      <c r="DN63" s="1026">
        <f t="shared" si="61"/>
        <v>-5.928234411691106</v>
      </c>
      <c r="DO63" s="1026">
        <f aca="true" t="shared" si="62" ref="DO63:EG63">(DO$41-Vc*DO40*erfcconst3_1)/DO38</f>
        <v>-6.047365336119077</v>
      </c>
      <c r="DP63" s="1026">
        <f t="shared" si="62"/>
        <v>-6.16428415222636</v>
      </c>
      <c r="DQ63" s="1026">
        <f t="shared" si="62"/>
        <v>-6.279106651485461</v>
      </c>
      <c r="DR63" s="1026">
        <f t="shared" si="62"/>
        <v>-6.391939038046524</v>
      </c>
      <c r="DS63" s="1026">
        <f t="shared" si="62"/>
        <v>-6.502878990408495</v>
      </c>
      <c r="DT63" s="1026">
        <f t="shared" si="62"/>
        <v>-6.612016578022129</v>
      </c>
      <c r="DU63" s="1026">
        <f t="shared" si="62"/>
        <v>-6.719435056156046</v>
      </c>
      <c r="DV63" s="1026">
        <f t="shared" si="62"/>
        <v>-6.825211558075096</v>
      </c>
      <c r="DW63" s="1026">
        <f t="shared" si="62"/>
        <v>-6.929417700175784</v>
      </c>
      <c r="DX63" s="1026">
        <f t="shared" si="62"/>
        <v>-7.032120112998872</v>
      </c>
      <c r="DY63" s="1026">
        <f t="shared" si="62"/>
        <v>-7.133380908845283</v>
      </c>
      <c r="DZ63" s="1026">
        <f t="shared" si="62"/>
        <v>-7.233258094944336</v>
      </c>
      <c r="EA63" s="1026">
        <f t="shared" si="62"/>
        <v>-7.331805939676058</v>
      </c>
      <c r="EB63" s="1026">
        <f t="shared" si="62"/>
        <v>-7.429075298164164</v>
      </c>
      <c r="EC63" s="1026">
        <f t="shared" si="62"/>
        <v>-7.525113902581247</v>
      </c>
      <c r="ED63" s="1026">
        <f t="shared" si="62"/>
        <v>-7.619966621701479</v>
      </c>
      <c r="EE63" s="1026">
        <f t="shared" si="62"/>
        <v>-7.713675693566476</v>
      </c>
      <c r="EF63" s="1026">
        <f t="shared" si="62"/>
        <v>-7.806280934571439</v>
      </c>
      <c r="EG63" s="1026">
        <f t="shared" si="62"/>
        <v>-7.897819927810876</v>
      </c>
      <c r="EH63" s="1026"/>
      <c r="EI63" s="1026"/>
      <c r="EJ63" s="1026">
        <f>(EJ$41-Vc*EJ40*erfcconst3_1)/EJ38</f>
        <v>-13.420419950258749</v>
      </c>
    </row>
    <row r="64" spans="1:140" ht="12.75">
      <c r="A64" s="342"/>
      <c r="B64" s="342"/>
      <c r="C64" s="342"/>
      <c r="D64" s="342"/>
      <c r="E64" s="342"/>
      <c r="F64" s="342"/>
      <c r="G64" s="342"/>
      <c r="H64" s="342"/>
      <c r="I64" s="342"/>
      <c r="J64" s="342"/>
      <c r="K64" s="342"/>
      <c r="L64" s="342"/>
      <c r="M64" s="342"/>
      <c r="N64" s="342"/>
      <c r="O64" s="342"/>
      <c r="P64" s="342"/>
      <c r="Q64" s="342"/>
      <c r="AB64" s="1046" t="s">
        <v>125</v>
      </c>
      <c r="AC64" s="1031"/>
      <c r="AD64" s="1047">
        <f>gerfC(AD63)</f>
        <v>2</v>
      </c>
      <c r="AE64" s="1031">
        <f>gerfC(AE63)</f>
        <v>2</v>
      </c>
      <c r="AF64" s="1031"/>
      <c r="AG64" s="1031"/>
      <c r="AH64" s="1031">
        <f>gerfC(AH63)</f>
        <v>0</v>
      </c>
      <c r="AI64" s="1031">
        <f aca="true" t="shared" si="63" ref="AI64:CF64">gerfC(AI63)</f>
        <v>1.156046918683968</v>
      </c>
      <c r="AJ64" s="1031">
        <f t="shared" si="63"/>
        <v>1.8200414212785891</v>
      </c>
      <c r="AK64" s="1031">
        <f t="shared" si="63"/>
        <v>1.962124734396125</v>
      </c>
      <c r="AL64" s="1031">
        <f t="shared" si="63"/>
        <v>1.9919026296242575</v>
      </c>
      <c r="AM64" s="1031">
        <f t="shared" si="63"/>
        <v>1.9982438932151705</v>
      </c>
      <c r="AN64" s="1031">
        <f t="shared" si="63"/>
        <v>1.999614838416163</v>
      </c>
      <c r="AO64" s="1031">
        <f t="shared" si="63"/>
        <v>1.999914778722186</v>
      </c>
      <c r="AP64" s="1031">
        <f t="shared" si="63"/>
        <v>1.9999810120975585</v>
      </c>
      <c r="AQ64" s="1031">
        <f t="shared" si="63"/>
        <v>1.9999957454863284</v>
      </c>
      <c r="AR64" s="1031">
        <f t="shared" si="63"/>
        <v>1.9999990422906828</v>
      </c>
      <c r="AS64" s="1031">
        <f t="shared" si="63"/>
        <v>1.999999783579503</v>
      </c>
      <c r="AT64" s="1031">
        <f t="shared" si="63"/>
        <v>1.9999999509332056</v>
      </c>
      <c r="AU64" s="1031">
        <f t="shared" si="63"/>
        <v>1.9999999888442435</v>
      </c>
      <c r="AV64" s="1031">
        <f t="shared" si="63"/>
        <v>1.9999999974574485</v>
      </c>
      <c r="AW64" s="1031">
        <f t="shared" si="63"/>
        <v>1.9999999994192792</v>
      </c>
      <c r="AX64" s="1031">
        <f t="shared" si="63"/>
        <v>1.999999999867113</v>
      </c>
      <c r="AY64" s="1031">
        <f t="shared" si="63"/>
        <v>1.9999999999695404</v>
      </c>
      <c r="AZ64" s="1031">
        <f t="shared" si="63"/>
        <v>1.9999999999930078</v>
      </c>
      <c r="BA64" s="1031">
        <f t="shared" si="63"/>
        <v>1.9999999999983928</v>
      </c>
      <c r="BB64" s="1031">
        <f t="shared" si="63"/>
        <v>1.99999999999963</v>
      </c>
      <c r="BC64" s="1031">
        <f t="shared" si="63"/>
        <v>1.9999999999999147</v>
      </c>
      <c r="BD64" s="1031">
        <f t="shared" si="63"/>
        <v>1.9999999999999805</v>
      </c>
      <c r="BE64" s="1031">
        <f t="shared" si="63"/>
        <v>1.9999999999999956</v>
      </c>
      <c r="BF64" s="1031">
        <f t="shared" si="63"/>
        <v>1.9999999999999991</v>
      </c>
      <c r="BG64" s="1031">
        <f t="shared" si="63"/>
        <v>1.9999999999999998</v>
      </c>
      <c r="BH64" s="1031">
        <f t="shared" si="63"/>
        <v>2</v>
      </c>
      <c r="BI64" s="1031">
        <f t="shared" si="63"/>
        <v>2</v>
      </c>
      <c r="BJ64" s="1031">
        <f t="shared" si="63"/>
        <v>2</v>
      </c>
      <c r="BK64" s="1031">
        <f t="shared" si="63"/>
        <v>2</v>
      </c>
      <c r="BL64" s="1031">
        <f t="shared" si="63"/>
        <v>2</v>
      </c>
      <c r="BM64" s="1031">
        <f t="shared" si="63"/>
        <v>2</v>
      </c>
      <c r="BN64" s="1031">
        <f t="shared" si="63"/>
        <v>2</v>
      </c>
      <c r="BO64" s="1031">
        <f t="shared" si="63"/>
        <v>2</v>
      </c>
      <c r="BP64" s="1031">
        <f t="shared" si="63"/>
        <v>2</v>
      </c>
      <c r="BQ64" s="1031">
        <f t="shared" si="63"/>
        <v>2</v>
      </c>
      <c r="BR64" s="1031">
        <f t="shared" si="63"/>
        <v>2</v>
      </c>
      <c r="BS64" s="1031">
        <f t="shared" si="63"/>
        <v>2</v>
      </c>
      <c r="BT64" s="1031">
        <f t="shared" si="63"/>
        <v>2</v>
      </c>
      <c r="BU64" s="1031">
        <f t="shared" si="63"/>
        <v>2</v>
      </c>
      <c r="BV64" s="1031">
        <f t="shared" si="63"/>
        <v>2</v>
      </c>
      <c r="BW64" s="1031">
        <f t="shared" si="63"/>
        <v>2</v>
      </c>
      <c r="BX64" s="1031">
        <f t="shared" si="63"/>
        <v>2</v>
      </c>
      <c r="BY64" s="1031">
        <f t="shared" si="63"/>
        <v>2</v>
      </c>
      <c r="BZ64" s="1031">
        <f t="shared" si="63"/>
        <v>2</v>
      </c>
      <c r="CA64" s="1031">
        <f t="shared" si="63"/>
        <v>2</v>
      </c>
      <c r="CB64" s="1031">
        <f t="shared" si="63"/>
        <v>2</v>
      </c>
      <c r="CC64" s="1031">
        <f t="shared" si="63"/>
        <v>2</v>
      </c>
      <c r="CD64" s="1031">
        <f t="shared" si="63"/>
        <v>2</v>
      </c>
      <c r="CE64" s="1031">
        <f t="shared" si="63"/>
        <v>2</v>
      </c>
      <c r="CF64" s="1031">
        <f t="shared" si="63"/>
        <v>2</v>
      </c>
      <c r="CG64" s="1048"/>
      <c r="CH64" s="1048"/>
      <c r="CI64" s="1031">
        <f aca="true" t="shared" si="64" ref="CI64:DN64">gerfC(CI63)</f>
        <v>0</v>
      </c>
      <c r="CJ64" s="1031">
        <f t="shared" si="64"/>
        <v>1.589011040648014E-05</v>
      </c>
      <c r="CK64" s="1031">
        <f t="shared" si="64"/>
        <v>0.06413570972347749</v>
      </c>
      <c r="CL64" s="1031">
        <f t="shared" si="64"/>
        <v>0.5958036204106203</v>
      </c>
      <c r="CM64" s="1031">
        <f t="shared" si="64"/>
        <v>1.3037837858120036</v>
      </c>
      <c r="CN64" s="1031">
        <f t="shared" si="64"/>
        <v>1.7327291431642915</v>
      </c>
      <c r="CO64" s="1031">
        <f t="shared" si="64"/>
        <v>1.912115202718577</v>
      </c>
      <c r="CP64" s="1031">
        <f t="shared" si="64"/>
        <v>1.973753925940228</v>
      </c>
      <c r="CQ64" s="1031">
        <f t="shared" si="64"/>
        <v>1.9926379618110845</v>
      </c>
      <c r="CR64" s="1031">
        <f t="shared" si="64"/>
        <v>1.9980210351333594</v>
      </c>
      <c r="CS64" s="1031">
        <f t="shared" si="64"/>
        <v>1.9994837701535086</v>
      </c>
      <c r="CT64" s="1031">
        <f t="shared" si="64"/>
        <v>1.9998682427215178</v>
      </c>
      <c r="CU64" s="1031">
        <f t="shared" si="64"/>
        <v>1.9999669141899181</v>
      </c>
      <c r="CV64" s="1031">
        <f t="shared" si="64"/>
        <v>1.9999917941125513</v>
      </c>
      <c r="CW64" s="1031">
        <f t="shared" si="64"/>
        <v>1.9999979842788214</v>
      </c>
      <c r="CX64" s="1031">
        <f t="shared" si="64"/>
        <v>1.9999995085949724</v>
      </c>
      <c r="CY64" s="1031">
        <f t="shared" si="64"/>
        <v>1.9999998809269441</v>
      </c>
      <c r="CZ64" s="1031">
        <f t="shared" si="64"/>
        <v>1.9999999712885632</v>
      </c>
      <c r="DA64" s="1031">
        <f t="shared" si="64"/>
        <v>1.9999999931047108</v>
      </c>
      <c r="DB64" s="1031">
        <f t="shared" si="64"/>
        <v>1.9999999983495185</v>
      </c>
      <c r="DC64" s="1031">
        <f t="shared" si="64"/>
        <v>1.9999999996060227</v>
      </c>
      <c r="DD64" s="1031">
        <f t="shared" si="64"/>
        <v>1.9999999999061733</v>
      </c>
      <c r="DE64" s="1031">
        <f t="shared" si="64"/>
        <v>1.9999999999776983</v>
      </c>
      <c r="DF64" s="1031">
        <f t="shared" si="64"/>
        <v>1.9999999999947078</v>
      </c>
      <c r="DG64" s="1031">
        <f t="shared" si="64"/>
        <v>1.999999999998746</v>
      </c>
      <c r="DH64" s="1031">
        <f t="shared" si="64"/>
        <v>1.9999999999997033</v>
      </c>
      <c r="DI64" s="1031">
        <f t="shared" si="64"/>
        <v>1.9999999999999298</v>
      </c>
      <c r="DJ64" s="1031">
        <f t="shared" si="64"/>
        <v>1.9999999999999836</v>
      </c>
      <c r="DK64" s="1031">
        <f t="shared" si="64"/>
        <v>1.999999999999996</v>
      </c>
      <c r="DL64" s="1031">
        <f t="shared" si="64"/>
        <v>1.9999999999999991</v>
      </c>
      <c r="DM64" s="1031">
        <f t="shared" si="64"/>
        <v>1.9999999999999998</v>
      </c>
      <c r="DN64" s="1031">
        <f t="shared" si="64"/>
        <v>2</v>
      </c>
      <c r="DO64" s="1031">
        <f aca="true" t="shared" si="65" ref="DO64:EG64">gerfC(DO63)</f>
        <v>2</v>
      </c>
      <c r="DP64" s="1031">
        <f t="shared" si="65"/>
        <v>2</v>
      </c>
      <c r="DQ64" s="1031">
        <f t="shared" si="65"/>
        <v>2</v>
      </c>
      <c r="DR64" s="1031">
        <f t="shared" si="65"/>
        <v>2</v>
      </c>
      <c r="DS64" s="1031">
        <f t="shared" si="65"/>
        <v>2</v>
      </c>
      <c r="DT64" s="1031">
        <f t="shared" si="65"/>
        <v>2</v>
      </c>
      <c r="DU64" s="1031">
        <f t="shared" si="65"/>
        <v>2</v>
      </c>
      <c r="DV64" s="1031">
        <f t="shared" si="65"/>
        <v>2</v>
      </c>
      <c r="DW64" s="1031">
        <f t="shared" si="65"/>
        <v>2</v>
      </c>
      <c r="DX64" s="1031">
        <f t="shared" si="65"/>
        <v>2</v>
      </c>
      <c r="DY64" s="1031">
        <f t="shared" si="65"/>
        <v>2</v>
      </c>
      <c r="DZ64" s="1031">
        <f t="shared" si="65"/>
        <v>2</v>
      </c>
      <c r="EA64" s="1031">
        <f t="shared" si="65"/>
        <v>2</v>
      </c>
      <c r="EB64" s="1031">
        <f t="shared" si="65"/>
        <v>2</v>
      </c>
      <c r="EC64" s="1031">
        <f t="shared" si="65"/>
        <v>2</v>
      </c>
      <c r="ED64" s="1031">
        <f t="shared" si="65"/>
        <v>2</v>
      </c>
      <c r="EE64" s="1031">
        <f t="shared" si="65"/>
        <v>2</v>
      </c>
      <c r="EF64" s="1031">
        <f t="shared" si="65"/>
        <v>2</v>
      </c>
      <c r="EG64" s="1031">
        <f t="shared" si="65"/>
        <v>2</v>
      </c>
      <c r="EH64" s="1031"/>
      <c r="EI64" s="1031"/>
      <c r="EJ64" s="1031">
        <f>gerfC(EJ63)</f>
        <v>2</v>
      </c>
    </row>
    <row r="65" spans="1:140" ht="12.75">
      <c r="A65" s="342"/>
      <c r="B65" s="342"/>
      <c r="C65" s="342"/>
      <c r="D65" s="342"/>
      <c r="E65" s="342"/>
      <c r="F65" s="342"/>
      <c r="G65" s="342"/>
      <c r="H65" s="342"/>
      <c r="I65" s="342"/>
      <c r="J65" s="342"/>
      <c r="K65" s="342"/>
      <c r="L65" s="342"/>
      <c r="M65" s="342"/>
      <c r="N65" s="342"/>
      <c r="O65" s="342"/>
      <c r="P65" s="342"/>
      <c r="Q65" s="342"/>
      <c r="AB65" s="1024"/>
      <c r="AC65" s="1026"/>
      <c r="AD65" s="1041"/>
      <c r="AE65" s="1026"/>
      <c r="AF65" s="1026"/>
      <c r="AG65" s="1026"/>
      <c r="AH65" s="1026"/>
      <c r="AI65" s="1026"/>
      <c r="AJ65" s="1026"/>
      <c r="AK65" s="1026"/>
      <c r="AL65" s="1026"/>
      <c r="AM65" s="1026"/>
      <c r="AN65" s="1026"/>
      <c r="AO65" s="1026"/>
      <c r="AP65" s="1026"/>
      <c r="AQ65" s="1026"/>
      <c r="AR65" s="1026"/>
      <c r="AS65" s="1026"/>
      <c r="AT65" s="1026"/>
      <c r="AU65" s="1026"/>
      <c r="AV65" s="1026"/>
      <c r="AW65" s="1026"/>
      <c r="AX65" s="1026"/>
      <c r="AY65" s="1026"/>
      <c r="AZ65" s="1026"/>
      <c r="BA65" s="1026"/>
      <c r="BB65" s="1026"/>
      <c r="BC65" s="1026"/>
      <c r="BD65" s="1026"/>
      <c r="BE65" s="1026"/>
      <c r="BF65" s="1026"/>
      <c r="BG65" s="1026"/>
      <c r="BH65" s="1026"/>
      <c r="BI65" s="1026"/>
      <c r="BJ65" s="1026"/>
      <c r="BK65" s="1026"/>
      <c r="BL65" s="1026"/>
      <c r="BM65" s="1026"/>
      <c r="BN65" s="1026"/>
      <c r="BO65" s="1026"/>
      <c r="BP65" s="1026"/>
      <c r="BQ65" s="1026"/>
      <c r="BR65" s="1026"/>
      <c r="BS65" s="1026"/>
      <c r="BT65" s="1026"/>
      <c r="BU65" s="1026"/>
      <c r="BV65" s="1026"/>
      <c r="BW65" s="1026"/>
      <c r="BX65" s="1026"/>
      <c r="BY65" s="1026"/>
      <c r="BZ65" s="1026"/>
      <c r="CA65" s="1026"/>
      <c r="CB65" s="1026"/>
      <c r="CC65" s="1026"/>
      <c r="CD65" s="1026"/>
      <c r="CE65" s="1026"/>
      <c r="CF65" s="1026"/>
      <c r="CG65" s="1033"/>
      <c r="CH65" s="1033"/>
      <c r="CI65" s="1026"/>
      <c r="CJ65" s="1026"/>
      <c r="CK65" s="1026"/>
      <c r="CL65" s="1026"/>
      <c r="CM65" s="1026"/>
      <c r="CN65" s="1026"/>
      <c r="CO65" s="1026"/>
      <c r="CP65" s="1026"/>
      <c r="CQ65" s="1026"/>
      <c r="CR65" s="1026"/>
      <c r="CS65" s="1026"/>
      <c r="CT65" s="1026"/>
      <c r="CU65" s="1026"/>
      <c r="CV65" s="1026"/>
      <c r="CW65" s="1026"/>
      <c r="CX65" s="1026"/>
      <c r="CY65" s="1026"/>
      <c r="CZ65" s="1026"/>
      <c r="DA65" s="1026"/>
      <c r="DB65" s="1026"/>
      <c r="DC65" s="1026"/>
      <c r="DD65" s="1026"/>
      <c r="DE65" s="1026"/>
      <c r="DF65" s="1026"/>
      <c r="DG65" s="1026"/>
      <c r="DH65" s="1026"/>
      <c r="DI65" s="1026"/>
      <c r="DJ65" s="1026"/>
      <c r="DK65" s="1026"/>
      <c r="DL65" s="1026"/>
      <c r="DM65" s="1026"/>
      <c r="DN65" s="1026"/>
      <c r="DO65" s="1026"/>
      <c r="DP65" s="1026"/>
      <c r="DQ65" s="1026"/>
      <c r="DR65" s="1026"/>
      <c r="DS65" s="1026"/>
      <c r="DT65" s="1026"/>
      <c r="DU65" s="1026"/>
      <c r="DV65" s="1026"/>
      <c r="DW65" s="1026"/>
      <c r="DX65" s="1026"/>
      <c r="DY65" s="1026"/>
      <c r="DZ65" s="1026"/>
      <c r="EA65" s="1026"/>
      <c r="EB65" s="1026"/>
      <c r="EC65" s="1026"/>
      <c r="ED65" s="1026"/>
      <c r="EE65" s="1026"/>
      <c r="EF65" s="1026"/>
      <c r="EG65" s="1026"/>
      <c r="EH65" s="1026"/>
      <c r="EI65" s="1026"/>
      <c r="EJ65" s="1026"/>
    </row>
    <row r="66" spans="1:140" s="1035" customFormat="1" ht="12.75">
      <c r="A66" s="548"/>
      <c r="B66" s="548"/>
      <c r="C66" s="548"/>
      <c r="D66" s="548"/>
      <c r="E66" s="548"/>
      <c r="F66" s="548"/>
      <c r="G66" s="548"/>
      <c r="H66" s="548"/>
      <c r="I66" s="548"/>
      <c r="J66" s="548"/>
      <c r="K66" s="548"/>
      <c r="L66" s="548"/>
      <c r="M66" s="548"/>
      <c r="N66" s="548"/>
      <c r="O66" s="548"/>
      <c r="P66" s="548"/>
      <c r="Q66" s="548"/>
      <c r="AB66" s="1035" t="s">
        <v>264</v>
      </c>
      <c r="AC66" s="1049"/>
      <c r="AD66" s="1050">
        <f>IF(OR(AD43=0,AD45=0),0,AD57*AD62*AD64/AD43/AD45)</f>
        <v>321.1496444102645</v>
      </c>
      <c r="AE66" s="1049">
        <f>IF(OR(AE43=0,AE45=0),0,AE57*AE62*AE64/AE43/AE45)</f>
        <v>46.41122114127705</v>
      </c>
      <c r="AF66" s="1049"/>
      <c r="AG66" s="1049"/>
      <c r="AH66" s="1049">
        <f>IF(OR(AH43=0,AH45=0),0,AH57*AH62*AH64/AH43/AH45)</f>
        <v>0</v>
      </c>
      <c r="AI66" s="1049">
        <f aca="true" t="shared" si="66" ref="AI66:CF66">IF(OR(AI43=0,AI45=0),0,AI57*AI62*AI64/AI43/AI45)</f>
        <v>2581.197008242678</v>
      </c>
      <c r="AJ66" s="1049">
        <f t="shared" si="66"/>
        <v>3895.8642405117794</v>
      </c>
      <c r="AK66" s="1049">
        <f t="shared" si="66"/>
        <v>3979.3751387031766</v>
      </c>
      <c r="AL66" s="1049">
        <f t="shared" si="66"/>
        <v>3827.5608346398426</v>
      </c>
      <c r="AM66" s="1049">
        <f t="shared" si="66"/>
        <v>3638.0462737562384</v>
      </c>
      <c r="AN66" s="1049">
        <f t="shared" si="66"/>
        <v>3449.3066236961618</v>
      </c>
      <c r="AO66" s="1049">
        <f t="shared" si="66"/>
        <v>3268.6067143068326</v>
      </c>
      <c r="AP66" s="1049">
        <f t="shared" si="66"/>
        <v>3097.011218223568</v>
      </c>
      <c r="AQ66" s="1049">
        <f t="shared" si="66"/>
        <v>2934.3485891495634</v>
      </c>
      <c r="AR66" s="1049">
        <f t="shared" si="66"/>
        <v>2780.213502287853</v>
      </c>
      <c r="AS66" s="1049">
        <f t="shared" si="66"/>
        <v>2634.171437686773</v>
      </c>
      <c r="AT66" s="1049">
        <f t="shared" si="66"/>
        <v>2495.8001125405917</v>
      </c>
      <c r="AU66" s="1049">
        <f t="shared" si="66"/>
        <v>2364.6971907330885</v>
      </c>
      <c r="AV66" s="1049">
        <f t="shared" si="66"/>
        <v>2240.4809959941495</v>
      </c>
      <c r="AW66" s="1049">
        <f t="shared" si="66"/>
        <v>2122.7898000591804</v>
      </c>
      <c r="AX66" s="1049">
        <f t="shared" si="66"/>
        <v>2011.2808543705448</v>
      </c>
      <c r="AY66" s="1049">
        <f t="shared" si="66"/>
        <v>1905.629410102736</v>
      </c>
      <c r="AZ66" s="1049">
        <f t="shared" si="66"/>
        <v>1805.5277762993628</v>
      </c>
      <c r="BA66" s="1049">
        <f t="shared" si="66"/>
        <v>1710.6844246192134</v>
      </c>
      <c r="BB66" s="1049">
        <f t="shared" si="66"/>
        <v>1620.823140492902</v>
      </c>
      <c r="BC66" s="1049">
        <f t="shared" si="66"/>
        <v>1535.6822187358077</v>
      </c>
      <c r="BD66" s="1049">
        <f t="shared" si="66"/>
        <v>1455.0137013862575</v>
      </c>
      <c r="BE66" s="1049">
        <f t="shared" si="66"/>
        <v>1378.5826555734154</v>
      </c>
      <c r="BF66" s="1049">
        <f t="shared" si="66"/>
        <v>1306.1664893170112</v>
      </c>
      <c r="BG66" s="1049">
        <f t="shared" si="66"/>
        <v>1237.5543032674314</v>
      </c>
      <c r="BH66" s="1049">
        <f t="shared" si="66"/>
        <v>1172.5462764984682</v>
      </c>
      <c r="BI66" s="1049">
        <f t="shared" si="66"/>
        <v>1110.9530845640134</v>
      </c>
      <c r="BJ66" s="1049">
        <f t="shared" si="66"/>
        <v>1052.5953481239076</v>
      </c>
      <c r="BK66" s="1049">
        <f t="shared" si="66"/>
        <v>997.3031105331515</v>
      </c>
      <c r="BL66" s="1049">
        <f t="shared" si="66"/>
        <v>944.9153428730688</v>
      </c>
      <c r="BM66" s="1049">
        <f t="shared" si="66"/>
        <v>895.2794749828964</v>
      </c>
      <c r="BN66" s="1049">
        <f t="shared" si="66"/>
        <v>848.2509511260206</v>
      </c>
      <c r="BO66" s="1049">
        <f t="shared" si="66"/>
        <v>803.6928089968159</v>
      </c>
      <c r="BP66" s="1049">
        <f t="shared" si="66"/>
        <v>761.4752808420143</v>
      </c>
      <c r="BQ66" s="1049">
        <f t="shared" si="66"/>
        <v>721.4754155349449</v>
      </c>
      <c r="BR66" s="1049">
        <f t="shared" si="66"/>
        <v>683.5767205019968</v>
      </c>
      <c r="BS66" s="1049">
        <f t="shared" si="66"/>
        <v>647.6688224584867</v>
      </c>
      <c r="BT66" s="1049">
        <f t="shared" si="66"/>
        <v>613.6471459658746</v>
      </c>
      <c r="BU66" s="1049">
        <f t="shared" si="66"/>
        <v>581.4126088741903</v>
      </c>
      <c r="BV66" s="1049">
        <f t="shared" si="66"/>
        <v>550.8713337626942</v>
      </c>
      <c r="BW66" s="1049">
        <f t="shared" si="66"/>
        <v>521.9343745384001</v>
      </c>
      <c r="BX66" s="1049">
        <f t="shared" si="66"/>
        <v>494.51745739621754</v>
      </c>
      <c r="BY66" s="1049">
        <f t="shared" si="66"/>
        <v>468.5407353863179</v>
      </c>
      <c r="BZ66" s="1049">
        <f t="shared" si="66"/>
        <v>443.928555873932</v>
      </c>
      <c r="CA66" s="1049">
        <f t="shared" si="66"/>
        <v>420.60924021435585</v>
      </c>
      <c r="CB66" s="1049">
        <f t="shared" si="66"/>
        <v>398.51487500150296</v>
      </c>
      <c r="CC66" s="1049">
        <f t="shared" si="66"/>
        <v>377.5811142820514</v>
      </c>
      <c r="CD66" s="1049">
        <f t="shared" si="66"/>
        <v>357.7469921591707</v>
      </c>
      <c r="CE66" s="1049">
        <f t="shared" si="66"/>
        <v>338.95474524006806</v>
      </c>
      <c r="CF66" s="1049">
        <f t="shared" si="66"/>
        <v>321.14964441026467</v>
      </c>
      <c r="CG66" s="1040"/>
      <c r="CH66" s="1040"/>
      <c r="CI66" s="1049">
        <f>IF(OR(CI43=0,CI45=0),0,CI57*CI62*CI64/CI43/CI45)</f>
        <v>0</v>
      </c>
      <c r="CJ66" s="1049">
        <f aca="true" t="shared" si="67" ref="CJ66:EG66">IF(OR(CJ43=0,CJ45=0),0,CJ57*CJ62*CJ64/CJ43/CJ45)</f>
        <v>0.0042087871633234965</v>
      </c>
      <c r="CK66" s="1049">
        <f t="shared" si="67"/>
        <v>16.987518959259873</v>
      </c>
      <c r="CL66" s="1049">
        <f t="shared" si="67"/>
        <v>157.8095158120019</v>
      </c>
      <c r="CM66" s="1049">
        <f t="shared" si="67"/>
        <v>345.33104686529293</v>
      </c>
      <c r="CN66" s="1049">
        <f t="shared" si="67"/>
        <v>455.89618105962825</v>
      </c>
      <c r="CO66" s="1049">
        <f t="shared" si="67"/>
        <v>476.666966553793</v>
      </c>
      <c r="CP66" s="1049">
        <f t="shared" si="67"/>
        <v>466.1865458302395</v>
      </c>
      <c r="CQ66" s="1049">
        <f t="shared" si="67"/>
        <v>445.92400895975356</v>
      </c>
      <c r="CR66" s="1049">
        <f t="shared" si="67"/>
        <v>423.6412486021456</v>
      </c>
      <c r="CS66" s="1049">
        <f t="shared" si="67"/>
        <v>401.68146632721516</v>
      </c>
      <c r="CT66" s="1049">
        <f t="shared" si="67"/>
        <v>380.65454679514175</v>
      </c>
      <c r="CU66" s="1049">
        <f t="shared" si="67"/>
        <v>360.67677355052626</v>
      </c>
      <c r="CV66" s="1049">
        <f t="shared" si="67"/>
        <v>341.7348780600696</v>
      </c>
      <c r="CW66" s="1049">
        <f t="shared" si="67"/>
        <v>323.784740569219</v>
      </c>
      <c r="CX66" s="1049">
        <f t="shared" si="67"/>
        <v>306.77674530698886</v>
      </c>
      <c r="CY66" s="1049">
        <f t="shared" si="67"/>
        <v>290.6619907038267</v>
      </c>
      <c r="CZ66" s="1049">
        <f t="shared" si="67"/>
        <v>275.3936933659042</v>
      </c>
      <c r="DA66" s="1049">
        <f t="shared" si="67"/>
        <v>260.9274214449706</v>
      </c>
      <c r="DB66" s="1049">
        <f t="shared" si="67"/>
        <v>247.22105239842168</v>
      </c>
      <c r="DC66" s="1049">
        <f t="shared" si="67"/>
        <v>234.23467065531815</v>
      </c>
      <c r="DD66" s="1049">
        <f t="shared" si="67"/>
        <v>221.93045607761536</v>
      </c>
      <c r="DE66" s="1049">
        <f t="shared" si="67"/>
        <v>210.27257489846684</v>
      </c>
      <c r="DF66" s="1049">
        <f t="shared" si="67"/>
        <v>199.2270756104024</v>
      </c>
      <c r="DG66" s="1049">
        <f t="shared" si="67"/>
        <v>188.76179014396496</v>
      </c>
      <c r="DH66" s="1049">
        <f t="shared" si="67"/>
        <v>178.84624019667623</v>
      </c>
      <c r="DI66" s="1049">
        <f t="shared" si="67"/>
        <v>169.45154847323934</v>
      </c>
      <c r="DJ66" s="1049">
        <f t="shared" si="67"/>
        <v>160.55035458614987</v>
      </c>
      <c r="DK66" s="1049">
        <f t="shared" si="67"/>
        <v>152.11673537352576</v>
      </c>
      <c r="DL66" s="1049">
        <f t="shared" si="67"/>
        <v>144.12612940249045</v>
      </c>
      <c r="DM66" s="1049">
        <f t="shared" si="67"/>
        <v>136.55526543832588</v>
      </c>
      <c r="DN66" s="1049">
        <f t="shared" si="67"/>
        <v>129.38209467109593</v>
      </c>
      <c r="DO66" s="1049">
        <f t="shared" si="67"/>
        <v>122.58572650236464</v>
      </c>
      <c r="DP66" s="1049">
        <f t="shared" si="67"/>
        <v>116.14636770500246</v>
      </c>
      <c r="DQ66" s="1049">
        <f t="shared" si="67"/>
        <v>110.04526477889269</v>
      </c>
      <c r="DR66" s="1049">
        <f t="shared" si="67"/>
        <v>104.26464933466032</v>
      </c>
      <c r="DS66" s="1049">
        <f t="shared" si="67"/>
        <v>98.7876863463627</v>
      </c>
      <c r="DT66" s="1049">
        <f t="shared" si="67"/>
        <v>93.59842512243678</v>
      </c>
      <c r="DU66" s="1049">
        <f t="shared" si="67"/>
        <v>88.68175285211514</v>
      </c>
      <c r="DV66" s="1049">
        <f t="shared" si="67"/>
        <v>84.0233505920221</v>
      </c>
      <c r="DW66" s="1049">
        <f t="shared" si="67"/>
        <v>79.60965156476911</v>
      </c>
      <c r="DX66" s="1049">
        <f t="shared" si="67"/>
        <v>75.42780164810166</v>
      </c>
      <c r="DY66" s="1049">
        <f t="shared" si="67"/>
        <v>71.4656219395283</v>
      </c>
      <c r="DZ66" s="1049">
        <f t="shared" si="67"/>
        <v>67.71157328740905</v>
      </c>
      <c r="EA66" s="1049">
        <f t="shared" si="67"/>
        <v>64.15472268520536</v>
      </c>
      <c r="EB66" s="1049">
        <f t="shared" si="67"/>
        <v>60.784711431021194</v>
      </c>
      <c r="EC66" s="1049">
        <f t="shared" si="67"/>
        <v>57.591724959705374</v>
      </c>
      <c r="ED66" s="1049">
        <f t="shared" si="67"/>
        <v>54.566464259656506</v>
      </c>
      <c r="EE66" s="1049">
        <f t="shared" si="67"/>
        <v>51.70011879108688</v>
      </c>
      <c r="EF66" s="1049">
        <f t="shared" si="67"/>
        <v>48.98434082687473</v>
      </c>
      <c r="EG66" s="1049">
        <f t="shared" si="67"/>
        <v>46.41122114127708</v>
      </c>
      <c r="EH66" s="1049"/>
      <c r="EI66" s="1049"/>
      <c r="EJ66" s="1049">
        <f>IF(OR(EJ43=0,EJ45=0),0,EJ57*EJ62*EJ64/EJ43/EJ45)</f>
        <v>5.2008355545443</v>
      </c>
    </row>
    <row r="67" spans="1:140" ht="12" customHeight="1" hidden="1">
      <c r="A67" s="342"/>
      <c r="B67" s="342"/>
      <c r="C67" s="342"/>
      <c r="D67" s="342"/>
      <c r="E67" s="342"/>
      <c r="F67" s="342"/>
      <c r="G67" s="342"/>
      <c r="H67" s="342"/>
      <c r="I67" s="342"/>
      <c r="J67" s="342"/>
      <c r="K67" s="342"/>
      <c r="L67" s="342"/>
      <c r="M67" s="342"/>
      <c r="N67" s="342"/>
      <c r="O67" s="342"/>
      <c r="P67" s="342"/>
      <c r="Q67" s="342"/>
      <c r="AB67" s="1024"/>
      <c r="AC67" s="1024"/>
      <c r="AD67" s="1041"/>
      <c r="AE67" s="1026"/>
      <c r="AF67" s="1026"/>
      <c r="AG67" s="1026"/>
      <c r="AH67" s="1026"/>
      <c r="AI67" s="1026"/>
      <c r="AJ67" s="1026"/>
      <c r="AK67" s="1026"/>
      <c r="AL67" s="1026"/>
      <c r="AM67" s="1026"/>
      <c r="EJ67" s="1035"/>
    </row>
    <row r="68" spans="1:39" ht="12.75" hidden="1">
      <c r="A68" s="342"/>
      <c r="B68" s="342"/>
      <c r="C68" s="342"/>
      <c r="D68" s="342"/>
      <c r="E68" s="342"/>
      <c r="F68" s="342"/>
      <c r="G68" s="342"/>
      <c r="H68" s="342"/>
      <c r="I68" s="342"/>
      <c r="J68" s="342"/>
      <c r="K68" s="342"/>
      <c r="L68" s="342"/>
      <c r="M68" s="342"/>
      <c r="N68" s="342"/>
      <c r="O68" s="342"/>
      <c r="P68" s="342"/>
      <c r="Q68" s="342"/>
      <c r="AB68" s="1044" t="s">
        <v>135</v>
      </c>
      <c r="AD68" s="1045"/>
      <c r="AE68" s="1026"/>
      <c r="AF68" s="1026"/>
      <c r="AG68" s="1026"/>
      <c r="AH68" s="1026"/>
      <c r="AI68" s="1026"/>
      <c r="AJ68" s="1026"/>
      <c r="AK68" s="1026"/>
      <c r="AL68" s="1026"/>
      <c r="AM68" s="1026"/>
    </row>
    <row r="69" spans="1:39" ht="12.75" hidden="1">
      <c r="A69" s="342"/>
      <c r="B69" s="342"/>
      <c r="C69" s="342"/>
      <c r="D69" s="342"/>
      <c r="E69" s="342"/>
      <c r="F69" s="342"/>
      <c r="G69" s="342"/>
      <c r="H69" s="342"/>
      <c r="I69" s="342"/>
      <c r="J69" s="342"/>
      <c r="K69" s="342"/>
      <c r="L69" s="342"/>
      <c r="M69" s="342"/>
      <c r="N69" s="342"/>
      <c r="O69" s="342"/>
      <c r="P69" s="342"/>
      <c r="Q69" s="342"/>
      <c r="AD69" s="1051"/>
      <c r="AE69" s="1024"/>
      <c r="AF69" s="1024"/>
      <c r="AG69" s="1024"/>
      <c r="AH69" s="1024"/>
      <c r="AI69" s="1024"/>
      <c r="AJ69" s="1024"/>
      <c r="AK69" s="1024"/>
      <c r="AL69" s="1024"/>
      <c r="AM69" s="1024"/>
    </row>
    <row r="70" spans="1:140" ht="12.75" hidden="1">
      <c r="A70" s="342"/>
      <c r="B70" s="342"/>
      <c r="C70" s="342"/>
      <c r="D70" s="342"/>
      <c r="E70" s="342"/>
      <c r="F70" s="342"/>
      <c r="G70" s="342"/>
      <c r="H70" s="342"/>
      <c r="I70" s="342"/>
      <c r="J70" s="342"/>
      <c r="K70" s="342"/>
      <c r="L70" s="342"/>
      <c r="M70" s="342"/>
      <c r="N70" s="342"/>
      <c r="O70" s="342"/>
      <c r="P70" s="342"/>
      <c r="Q70" s="342"/>
      <c r="AB70" s="524" t="s">
        <v>145</v>
      </c>
      <c r="AC70" s="1026"/>
      <c r="AD70" s="1041">
        <f>IF(C.1=0,0,bioc.1*EXP(-ksourceinst*MAX(0,(t_sim-AD$55)))/(C.1*EXP(-ksource*MAX(0,(t_sim-AD$55))))*AD51)+IF(C.2=0,0,bioc.2*EXP(-ksourceinst*MAX(0,(t_sim-AD$55)))/(C.2*EXP(-ksourceinst*MAX(0,(t_sim-AD$55))))*AD52)+IF(C.3=0,0,bioc.3*EXP(-ksourceinst*MAX(0,(t_sim-AD$55)))/(C.3*EXP(-ksource*MAX(0,(t_sim-AD$55))))*AD53)</f>
        <v>327.79273207464985</v>
      </c>
      <c r="AE70" s="1026">
        <f>IF(C.1=0,0,bioc.1*EXP(-ksourceinst*MAX(0,(t_sim-AE$55)))/(C.1*EXP(-ksource*MAX(0,(t_sim-AE$55))))*AE51)+IF(C.2=0,0,bioc.2*EXP(-ksourceinst*MAX(0,(t_sim-AE$55)))/(C.2*EXP(-ksourceinst*MAX(0,(t_sim-AE$55))))*AE52)+IF(C.3=0,0,bioc.3*EXP(-ksourceinst*MAX(0,(t_sim-AE$55)))/(C.3*EXP(-ksource*MAX(0,(t_sim-AE$55))))*AE53)</f>
        <v>402.2903738041671</v>
      </c>
      <c r="AF70" s="1026"/>
      <c r="AG70" s="1026"/>
      <c r="AH70" s="1026">
        <f aca="true" t="shared" si="68" ref="AH70:BM70">IF(C.1=0,0,bioc.1*EXP(-ksourceinst*MAX(0,(AH40-AH$55)))/(C.1*EXP(-ksource*MAX(0,(AH40-AH$55))))*AH51)+IF(C.2=0,0,bioc.2*EXP(-ksourceinst*MAX(0,(AH40-AH$55)))/(C.2*EXP(-ksourceinst*MAX(0,(AH40-AH$55))))*AH52)+IF(C.3=0,0,bioc.3*EXP(-ksourceinst*MAX(0,(AH40-AH$55)))/(C.3*EXP(-ksource*MAX(0,(AH40-AH$55))))*AH53)</f>
        <v>0</v>
      </c>
      <c r="AI70" s="1026">
        <f t="shared" si="68"/>
        <v>6647.540218861159</v>
      </c>
      <c r="AJ70" s="1026">
        <f t="shared" si="68"/>
        <v>11537.495414892708</v>
      </c>
      <c r="AK70" s="1026">
        <f t="shared" si="68"/>
        <v>12199.50495382569</v>
      </c>
      <c r="AL70" s="1026">
        <f t="shared" si="68"/>
        <v>11542.71036031598</v>
      </c>
      <c r="AM70" s="1026">
        <f t="shared" si="68"/>
        <v>10530.304854852766</v>
      </c>
      <c r="AN70" s="1026">
        <f t="shared" si="68"/>
        <v>9484.190397577717</v>
      </c>
      <c r="AO70" s="1026">
        <f t="shared" si="68"/>
        <v>8507.60467841061</v>
      </c>
      <c r="AP70" s="1026">
        <f t="shared" si="68"/>
        <v>7627.877425251619</v>
      </c>
      <c r="AQ70" s="1026">
        <f t="shared" si="68"/>
        <v>6846.066503420872</v>
      </c>
      <c r="AR70" s="1026">
        <f t="shared" si="68"/>
        <v>6154.664818703144</v>
      </c>
      <c r="AS70" s="1026">
        <f t="shared" si="68"/>
        <v>5543.978475018574</v>
      </c>
      <c r="AT70" s="1026">
        <f t="shared" si="68"/>
        <v>5004.385046314862</v>
      </c>
      <c r="AU70" s="1026">
        <f t="shared" si="68"/>
        <v>4527.072741503849</v>
      </c>
      <c r="AV70" s="1026">
        <f t="shared" si="68"/>
        <v>4104.219758729576</v>
      </c>
      <c r="AW70" s="1026">
        <f t="shared" si="68"/>
        <v>3728.972883278262</v>
      </c>
      <c r="AX70" s="1026">
        <f t="shared" si="68"/>
        <v>3395.360557286407</v>
      </c>
      <c r="AY70" s="1026">
        <f t="shared" si="68"/>
        <v>3098.1909951176526</v>
      </c>
      <c r="AZ70" s="1026">
        <f t="shared" si="68"/>
        <v>2832.953616786264</v>
      </c>
      <c r="BA70" s="1026">
        <f t="shared" si="68"/>
        <v>2595.729726528403</v>
      </c>
      <c r="BB70" s="1026">
        <f t="shared" si="68"/>
        <v>2383.1136987750824</v>
      </c>
      <c r="BC70" s="1026">
        <f t="shared" si="68"/>
        <v>2192.1442406600813</v>
      </c>
      <c r="BD70" s="1026">
        <f t="shared" si="68"/>
        <v>2020.2447553106</v>
      </c>
      <c r="BE70" s="1026">
        <f t="shared" si="68"/>
        <v>1865.1717225247526</v>
      </c>
      <c r="BF70" s="1026">
        <f t="shared" si="68"/>
        <v>1724.9700649651772</v>
      </c>
      <c r="BG70" s="1026">
        <f t="shared" si="68"/>
        <v>1597.934570316562</v>
      </c>
      <c r="BH70" s="1026">
        <f t="shared" si="68"/>
        <v>1482.5765514433338</v>
      </c>
      <c r="BI70" s="1026">
        <f t="shared" si="68"/>
        <v>1377.5950322943177</v>
      </c>
      <c r="BJ70" s="1026">
        <f t="shared" si="68"/>
        <v>1281.851842339634</v>
      </c>
      <c r="BK70" s="1026">
        <f t="shared" si="68"/>
        <v>1194.3500858848327</v>
      </c>
      <c r="BL70" s="1026">
        <f t="shared" si="68"/>
        <v>1114.2155253387348</v>
      </c>
      <c r="BM70" s="1026">
        <f t="shared" si="68"/>
        <v>1040.6804805228894</v>
      </c>
      <c r="BN70" s="1026">
        <f aca="true" t="shared" si="69" ref="BN70:CF70">IF(C.1=0,0,bioc.1*EXP(-ksourceinst*MAX(0,(BN40-BN$55)))/(C.1*EXP(-ksource*MAX(0,(BN40-BN$55))))*BN51)+IF(C.2=0,0,bioc.2*EXP(-ksourceinst*MAX(0,(BN40-BN$55)))/(C.2*EXP(-ksourceinst*MAX(0,(BN40-BN$55))))*BN52)+IF(C.3=0,0,bioc.3*EXP(-ksourceinst*MAX(0,(BN40-BN$55)))/(C.3*EXP(-ksource*MAX(0,(BN40-BN$55))))*BN53)</f>
        <v>973.0699005812876</v>
      </c>
      <c r="BO70" s="1026">
        <f t="shared" si="69"/>
        <v>910.7893120877616</v>
      </c>
      <c r="BP70" s="1026">
        <f t="shared" si="69"/>
        <v>853.3143875495307</v>
      </c>
      <c r="BQ70" s="1026">
        <f t="shared" si="69"/>
        <v>800.181913541735</v>
      </c>
      <c r="BR70" s="1026">
        <f t="shared" si="69"/>
        <v>750.9819679391786</v>
      </c>
      <c r="BS70" s="1026">
        <f t="shared" si="69"/>
        <v>705.3511417958355</v>
      </c>
      <c r="BT70" s="1026">
        <f t="shared" si="69"/>
        <v>662.9666639286386</v>
      </c>
      <c r="BU70" s="1026">
        <f t="shared" si="69"/>
        <v>623.5413056807765</v>
      </c>
      <c r="BV70" s="1026">
        <f t="shared" si="69"/>
        <v>586.8189600948532</v>
      </c>
      <c r="BW70" s="1026">
        <f t="shared" si="69"/>
        <v>552.5708041835916</v>
      </c>
      <c r="BX70" s="1026">
        <f t="shared" si="69"/>
        <v>520.5919654606646</v>
      </c>
      <c r="BY70" s="1026">
        <f t="shared" si="69"/>
        <v>490.69862465891276</v>
      </c>
      <c r="BZ70" s="1026">
        <f t="shared" si="69"/>
        <v>462.7254958524059</v>
      </c>
      <c r="CA70" s="1026">
        <f t="shared" si="69"/>
        <v>436.5236332150867</v>
      </c>
      <c r="CB70" s="1026">
        <f t="shared" si="69"/>
        <v>411.95852056677995</v>
      </c>
      <c r="CC70" s="1026">
        <f t="shared" si="69"/>
        <v>388.9084058279094</v>
      </c>
      <c r="CD70" s="1026">
        <f t="shared" si="69"/>
        <v>367.262847657346</v>
      </c>
      <c r="CE70" s="1026">
        <f t="shared" si="69"/>
        <v>346.92144599558134</v>
      </c>
      <c r="CF70" s="1026">
        <f t="shared" si="69"/>
        <v>327.79273207464996</v>
      </c>
      <c r="CG70" s="1026"/>
      <c r="CH70" s="1026"/>
      <c r="CI70" s="1026">
        <f aca="true" t="shared" si="70" ref="CI70:DN70">IF(C.1=0,0,bioc.1*EXP(-ksourceinst*MAX(0,(CI40-CI$55)))/(C.1*EXP(-ksource*MAX(0,(CI40-CI$55))))*CI51)+IF(C.2=0,0,bioc.2*EXP(-ksourceinst*MAX(0,(CI40-CI$55)))/(C.2*EXP(-ksourceinst*MAX(0,(CI40-CI$55))))*CI52)+IF(C.3=0,0,bioc.3*EXP(-ksourceinst*MAX(0,(CI40-CI$55)))/(C.3*EXP(-ksource*MAX(0,(CI40-CI$55))))*CI53)</f>
        <v>0</v>
      </c>
      <c r="CJ70" s="1026">
        <f t="shared" si="70"/>
        <v>0.014427908718459772</v>
      </c>
      <c r="CK70" s="1026">
        <f t="shared" si="70"/>
        <v>100.3281821827388</v>
      </c>
      <c r="CL70" s="1026">
        <f t="shared" si="70"/>
        <v>1505.381443055223</v>
      </c>
      <c r="CM70" s="1026">
        <f t="shared" si="70"/>
        <v>4889.547874776249</v>
      </c>
      <c r="CN70" s="1026">
        <f t="shared" si="70"/>
        <v>8626.824453912708</v>
      </c>
      <c r="CO70" s="1026">
        <f t="shared" si="70"/>
        <v>10349.416511762856</v>
      </c>
      <c r="CP70" s="1026">
        <f t="shared" si="70"/>
        <v>10782.114665559977</v>
      </c>
      <c r="CQ70" s="1026">
        <f t="shared" si="70"/>
        <v>10431.726838522185</v>
      </c>
      <c r="CR70" s="1026">
        <f t="shared" si="70"/>
        <v>9709.992616189003</v>
      </c>
      <c r="CS70" s="1026">
        <f t="shared" si="70"/>
        <v>8863.08772670973</v>
      </c>
      <c r="CT70" s="1026">
        <f t="shared" si="70"/>
        <v>8015.686175309362</v>
      </c>
      <c r="CU70" s="1026">
        <f t="shared" si="70"/>
        <v>7222.450077555453</v>
      </c>
      <c r="CV70" s="1026">
        <f t="shared" si="70"/>
        <v>6502.471093100634</v>
      </c>
      <c r="CW70" s="1026">
        <f t="shared" si="70"/>
        <v>5858.348429536687</v>
      </c>
      <c r="CX70" s="1026">
        <f t="shared" si="70"/>
        <v>5285.757143743837</v>
      </c>
      <c r="CY70" s="1026">
        <f t="shared" si="70"/>
        <v>4777.937081562571</v>
      </c>
      <c r="CZ70" s="1026">
        <f t="shared" si="70"/>
        <v>4327.677524996173</v>
      </c>
      <c r="DA70" s="1026">
        <f t="shared" si="70"/>
        <v>3928.1298601158705</v>
      </c>
      <c r="DB70" s="1026">
        <f t="shared" si="70"/>
        <v>3573.0939307937383</v>
      </c>
      <c r="DC70" s="1026">
        <f t="shared" si="70"/>
        <v>3257.0780216613166</v>
      </c>
      <c r="DD70" s="1026">
        <f t="shared" si="70"/>
        <v>2975.2675120720264</v>
      </c>
      <c r="DE70" s="1026">
        <f t="shared" si="70"/>
        <v>2723.461303898058</v>
      </c>
      <c r="DF70" s="1026">
        <f t="shared" si="70"/>
        <v>2498.001023523242</v>
      </c>
      <c r="DG70" s="1026">
        <f t="shared" si="70"/>
        <v>2295.7029958035528</v>
      </c>
      <c r="DH70" s="1026">
        <f t="shared" si="70"/>
        <v>2113.7965247441275</v>
      </c>
      <c r="DI70" s="1026">
        <f t="shared" si="70"/>
        <v>1949.8693096969782</v>
      </c>
      <c r="DJ70" s="1026">
        <f t="shared" si="70"/>
        <v>1801.8197492019813</v>
      </c>
      <c r="DK70" s="1026">
        <f t="shared" si="70"/>
        <v>1667.8155028825531</v>
      </c>
      <c r="DL70" s="1026">
        <f t="shared" si="70"/>
        <v>1546.2575892560249</v>
      </c>
      <c r="DM70" s="1026">
        <f t="shared" si="70"/>
        <v>1435.7493195318687</v>
      </c>
      <c r="DN70" s="1026">
        <f t="shared" si="70"/>
        <v>1335.0694305143425</v>
      </c>
      <c r="DO70" s="1026">
        <f aca="true" t="shared" si="71" ref="DO70:EG70">IF(C.1=0,0,bioc.1*EXP(-ksourceinst*MAX(0,(DO40-DO$55)))/(C.1*EXP(-ksource*MAX(0,(DO40-DO$55))))*DO51)+IF(C.2=0,0,bioc.2*EXP(-ksourceinst*MAX(0,(DO40-DO$55)))/(C.2*EXP(-ksourceinst*MAX(0,(DO40-DO$55))))*DO52)+IF(C.3=0,0,bioc.3*EXP(-ksourceinst*MAX(0,(DO40-DO$55)))/(C.3*EXP(-ksource*MAX(0,(DO40-DO$55))))*DO53)</f>
        <v>1243.148852948122</v>
      </c>
      <c r="DP70" s="1026">
        <f t="shared" si="71"/>
        <v>1159.050622890481</v>
      </c>
      <c r="DQ70" s="1026">
        <f t="shared" si="71"/>
        <v>1081.9525086184076</v>
      </c>
      <c r="DR70" s="1026">
        <f t="shared" si="71"/>
        <v>1011.1319830740839</v>
      </c>
      <c r="DS70" s="1026">
        <f t="shared" si="71"/>
        <v>945.9532220902015</v>
      </c>
      <c r="DT70" s="1026">
        <f t="shared" si="71"/>
        <v>885.8558522513337</v>
      </c>
      <c r="DU70" s="1026">
        <f t="shared" si="71"/>
        <v>830.3452099929281</v>
      </c>
      <c r="DV70" s="1026">
        <f t="shared" si="71"/>
        <v>778.9839061547757</v>
      </c>
      <c r="DW70" s="1026">
        <f t="shared" si="71"/>
        <v>731.3845183669322</v>
      </c>
      <c r="DX70" s="1026">
        <f t="shared" si="71"/>
        <v>687.2032579523731</v>
      </c>
      <c r="DY70" s="1026">
        <f t="shared" si="71"/>
        <v>646.1344790062266</v>
      </c>
      <c r="DZ70" s="1026">
        <f t="shared" si="71"/>
        <v>607.9059154113493</v>
      </c>
      <c r="EA70" s="1026">
        <f t="shared" si="71"/>
        <v>572.2745471681227</v>
      </c>
      <c r="EB70" s="1026">
        <f t="shared" si="71"/>
        <v>539.023010893059</v>
      </c>
      <c r="EC70" s="1026">
        <f t="shared" si="71"/>
        <v>507.9564809698332</v>
      </c>
      <c r="ED70" s="1026">
        <f t="shared" si="71"/>
        <v>478.89995787139094</v>
      </c>
      <c r="EE70" s="1026">
        <f t="shared" si="71"/>
        <v>451.69590883149397</v>
      </c>
      <c r="EF70" s="1026">
        <f t="shared" si="71"/>
        <v>426.20221351730623</v>
      </c>
      <c r="EG70" s="1026">
        <f t="shared" si="71"/>
        <v>402.29037380416725</v>
      </c>
      <c r="EH70" s="1026"/>
      <c r="EI70" s="1026"/>
      <c r="EJ70" s="1026">
        <f>IF(C.1=0,0,bioc.1*EXP(-ksourceinst*MAX(0,(EJ40-EJ$55)))/(C.1*EXP(-ksource*MAX(0,(EJ40-EJ$55))))*EJ51)+IF(C.2=0,0,bioc.2*EXP(-ksourceinst*MAX(0,(EJ40-EJ$55)))/(C.2*EXP(-ksourceinst*MAX(0,(EJ40-EJ$55))))*EJ52)+IF(C.3=0,0,bioc.3*EXP(-ksourceinst*MAX(0,(EJ40-EJ$55)))/(C.3*EXP(-ksource*MAX(0,(EJ40-EJ$55))))*EJ53)</f>
        <v>5.15953789807942</v>
      </c>
    </row>
    <row r="71" spans="1:140" ht="12.75" hidden="1">
      <c r="A71" s="342"/>
      <c r="B71" s="342"/>
      <c r="C71" s="342"/>
      <c r="D71" s="342"/>
      <c r="E71" s="342"/>
      <c r="F71" s="342"/>
      <c r="G71" s="342"/>
      <c r="H71" s="342"/>
      <c r="I71" s="342"/>
      <c r="J71" s="342"/>
      <c r="K71" s="342"/>
      <c r="L71" s="342"/>
      <c r="M71" s="342"/>
      <c r="N71" s="342"/>
      <c r="O71" s="342"/>
      <c r="P71" s="342"/>
      <c r="Q71" s="342"/>
      <c r="AB71" s="524" t="s">
        <v>139</v>
      </c>
      <c r="AD71" s="1052"/>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4"/>
      <c r="BW71" s="1024"/>
      <c r="BX71" s="1024"/>
      <c r="BY71" s="1024"/>
      <c r="BZ71" s="1024"/>
      <c r="CA71" s="1024"/>
      <c r="CB71" s="1024"/>
      <c r="CC71" s="1024"/>
      <c r="CD71" s="1024"/>
      <c r="CE71" s="1024"/>
      <c r="CF71" s="1024"/>
      <c r="CG71" s="1024"/>
      <c r="CH71" s="1024"/>
      <c r="CI71" s="1024"/>
      <c r="CJ71" s="1024"/>
      <c r="CK71" s="1024"/>
      <c r="CL71" s="1024"/>
      <c r="CM71" s="1024"/>
      <c r="CN71" s="1024"/>
      <c r="CO71" s="1024"/>
      <c r="CP71" s="1024"/>
      <c r="CQ71" s="1024"/>
      <c r="CR71" s="1024"/>
      <c r="CS71" s="1024"/>
      <c r="CT71" s="1024"/>
      <c r="CU71" s="1024"/>
      <c r="CV71" s="1024"/>
      <c r="CW71" s="1024"/>
      <c r="CX71" s="1024"/>
      <c r="CY71" s="1024"/>
      <c r="CZ71" s="1024"/>
      <c r="DA71" s="1024"/>
      <c r="DB71" s="1024"/>
      <c r="DC71" s="1024"/>
      <c r="DD71" s="1024"/>
      <c r="DE71" s="1024"/>
      <c r="DF71" s="1024"/>
      <c r="DG71" s="1024"/>
      <c r="DH71" s="1024"/>
      <c r="DI71" s="1024"/>
      <c r="DJ71" s="1024"/>
      <c r="DK71" s="1024"/>
      <c r="DL71" s="1024"/>
      <c r="DM71" s="1024"/>
      <c r="DN71" s="1024"/>
      <c r="DO71" s="1024"/>
      <c r="DP71" s="1024"/>
      <c r="DQ71" s="1024"/>
      <c r="DR71" s="1024"/>
      <c r="DS71" s="1024"/>
      <c r="DT71" s="1024"/>
      <c r="DU71" s="1024"/>
      <c r="DV71" s="1024"/>
      <c r="DW71" s="1024"/>
      <c r="DX71" s="1024"/>
      <c r="DY71" s="1024"/>
      <c r="DZ71" s="1024"/>
      <c r="EA71" s="1024"/>
      <c r="EB71" s="1024"/>
      <c r="EC71" s="1024"/>
      <c r="ED71" s="1024"/>
      <c r="EE71" s="1024"/>
      <c r="EF71" s="1024"/>
      <c r="EG71" s="1024"/>
      <c r="EH71" s="1024"/>
      <c r="EI71" s="1024"/>
      <c r="EJ71" s="1024"/>
    </row>
    <row r="72" spans="1:140" ht="12.75" hidden="1">
      <c r="A72" s="342"/>
      <c r="B72" s="342"/>
      <c r="C72" s="342"/>
      <c r="D72" s="342"/>
      <c r="E72" s="342"/>
      <c r="F72" s="342"/>
      <c r="G72" s="342"/>
      <c r="H72" s="342"/>
      <c r="I72" s="342"/>
      <c r="J72" s="342"/>
      <c r="K72" s="342"/>
      <c r="L72" s="342"/>
      <c r="M72" s="342"/>
      <c r="N72" s="342"/>
      <c r="O72" s="342"/>
      <c r="P72" s="342"/>
      <c r="Q72" s="342"/>
      <c r="AD72" s="1052"/>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4"/>
      <c r="BO72" s="1024"/>
      <c r="BP72" s="1024"/>
      <c r="BQ72" s="1024"/>
      <c r="BR72" s="1024"/>
      <c r="BS72" s="1024"/>
      <c r="BT72" s="1024"/>
      <c r="BU72" s="1024"/>
      <c r="BV72" s="1024"/>
      <c r="BW72" s="1024"/>
      <c r="BX72" s="1024"/>
      <c r="BY72" s="1024"/>
      <c r="BZ72" s="1024"/>
      <c r="CA72" s="1024"/>
      <c r="CB72" s="1024"/>
      <c r="CC72" s="1024"/>
      <c r="CD72" s="1024"/>
      <c r="CE72" s="1024"/>
      <c r="CF72" s="1024"/>
      <c r="CG72" s="1024"/>
      <c r="CH72" s="1024"/>
      <c r="CI72" s="1024"/>
      <c r="CJ72" s="1024"/>
      <c r="CK72" s="1024"/>
      <c r="CL72" s="1024"/>
      <c r="CM72" s="1024"/>
      <c r="CN72" s="1024"/>
      <c r="CO72" s="1024"/>
      <c r="CP72" s="1024"/>
      <c r="CQ72" s="1024"/>
      <c r="CR72" s="1024"/>
      <c r="CS72" s="1024"/>
      <c r="CT72" s="1024"/>
      <c r="CU72" s="1024"/>
      <c r="CV72" s="1024"/>
      <c r="CW72" s="1024"/>
      <c r="CX72" s="1024"/>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4"/>
      <c r="EB72" s="1024"/>
      <c r="EC72" s="1024"/>
      <c r="ED72" s="1024"/>
      <c r="EE72" s="1024"/>
      <c r="EF72" s="1024"/>
      <c r="EG72" s="1024"/>
      <c r="EH72" s="1024"/>
      <c r="EI72" s="1024"/>
      <c r="EJ72" s="1024"/>
    </row>
    <row r="73" spans="1:140" s="1035" customFormat="1" ht="12.75" hidden="1">
      <c r="A73" s="548"/>
      <c r="B73" s="548"/>
      <c r="C73" s="548"/>
      <c r="D73" s="548"/>
      <c r="E73" s="548"/>
      <c r="F73" s="548"/>
      <c r="G73" s="548"/>
      <c r="H73" s="548"/>
      <c r="I73" s="548"/>
      <c r="J73" s="548"/>
      <c r="K73" s="548"/>
      <c r="L73" s="548"/>
      <c r="M73" s="548"/>
      <c r="N73" s="548"/>
      <c r="O73" s="548"/>
      <c r="P73" s="548"/>
      <c r="Q73" s="548"/>
      <c r="AB73" s="1035" t="s">
        <v>139</v>
      </c>
      <c r="AC73" s="1053"/>
      <c r="AD73" s="1054">
        <f>MAX(0,AD70-biodegcap)</f>
        <v>0</v>
      </c>
      <c r="AE73" s="1053">
        <f>MAX(0,AE70-biodegcap)</f>
        <v>0</v>
      </c>
      <c r="AF73" s="1053"/>
      <c r="AG73" s="1053"/>
      <c r="AH73" s="1053">
        <f aca="true" t="shared" si="72" ref="AH73:BM73">MAX(0,AH70-biodegcap)</f>
        <v>0</v>
      </c>
      <c r="AI73" s="1053">
        <f t="shared" si="72"/>
        <v>0</v>
      </c>
      <c r="AJ73" s="1053">
        <f t="shared" si="72"/>
        <v>3663.195414892708</v>
      </c>
      <c r="AK73" s="1053">
        <f t="shared" si="72"/>
        <v>4325.20495382569</v>
      </c>
      <c r="AL73" s="1053">
        <f t="shared" si="72"/>
        <v>3668.4103603159792</v>
      </c>
      <c r="AM73" s="1053">
        <f t="shared" si="72"/>
        <v>2656.0048548527657</v>
      </c>
      <c r="AN73" s="1053">
        <f t="shared" si="72"/>
        <v>1609.8903975777166</v>
      </c>
      <c r="AO73" s="1053">
        <f t="shared" si="72"/>
        <v>633.3046784106091</v>
      </c>
      <c r="AP73" s="1053">
        <f t="shared" si="72"/>
        <v>0</v>
      </c>
      <c r="AQ73" s="1053">
        <f t="shared" si="72"/>
        <v>0</v>
      </c>
      <c r="AR73" s="1053">
        <f t="shared" si="72"/>
        <v>0</v>
      </c>
      <c r="AS73" s="1053">
        <f t="shared" si="72"/>
        <v>0</v>
      </c>
      <c r="AT73" s="1053">
        <f t="shared" si="72"/>
        <v>0</v>
      </c>
      <c r="AU73" s="1053">
        <f t="shared" si="72"/>
        <v>0</v>
      </c>
      <c r="AV73" s="1053">
        <f t="shared" si="72"/>
        <v>0</v>
      </c>
      <c r="AW73" s="1053">
        <f t="shared" si="72"/>
        <v>0</v>
      </c>
      <c r="AX73" s="1053">
        <f t="shared" si="72"/>
        <v>0</v>
      </c>
      <c r="AY73" s="1053">
        <f t="shared" si="72"/>
        <v>0</v>
      </c>
      <c r="AZ73" s="1053">
        <f t="shared" si="72"/>
        <v>0</v>
      </c>
      <c r="BA73" s="1053">
        <f t="shared" si="72"/>
        <v>0</v>
      </c>
      <c r="BB73" s="1053">
        <f t="shared" si="72"/>
        <v>0</v>
      </c>
      <c r="BC73" s="1053">
        <f t="shared" si="72"/>
        <v>0</v>
      </c>
      <c r="BD73" s="1053">
        <f t="shared" si="72"/>
        <v>0</v>
      </c>
      <c r="BE73" s="1053">
        <f t="shared" si="72"/>
        <v>0</v>
      </c>
      <c r="BF73" s="1053">
        <f t="shared" si="72"/>
        <v>0</v>
      </c>
      <c r="BG73" s="1053">
        <f t="shared" si="72"/>
        <v>0</v>
      </c>
      <c r="BH73" s="1053">
        <f t="shared" si="72"/>
        <v>0</v>
      </c>
      <c r="BI73" s="1053">
        <f t="shared" si="72"/>
        <v>0</v>
      </c>
      <c r="BJ73" s="1053">
        <f t="shared" si="72"/>
        <v>0</v>
      </c>
      <c r="BK73" s="1053">
        <f t="shared" si="72"/>
        <v>0</v>
      </c>
      <c r="BL73" s="1053">
        <f t="shared" si="72"/>
        <v>0</v>
      </c>
      <c r="BM73" s="1053">
        <f t="shared" si="72"/>
        <v>0</v>
      </c>
      <c r="BN73" s="1053">
        <f aca="true" t="shared" si="73" ref="BN73:CF73">MAX(0,BN70-biodegcap)</f>
        <v>0</v>
      </c>
      <c r="BO73" s="1053">
        <f t="shared" si="73"/>
        <v>0</v>
      </c>
      <c r="BP73" s="1053">
        <f t="shared" si="73"/>
        <v>0</v>
      </c>
      <c r="BQ73" s="1053">
        <f t="shared" si="73"/>
        <v>0</v>
      </c>
      <c r="BR73" s="1053">
        <f t="shared" si="73"/>
        <v>0</v>
      </c>
      <c r="BS73" s="1053">
        <f t="shared" si="73"/>
        <v>0</v>
      </c>
      <c r="BT73" s="1053">
        <f t="shared" si="73"/>
        <v>0</v>
      </c>
      <c r="BU73" s="1053">
        <f t="shared" si="73"/>
        <v>0</v>
      </c>
      <c r="BV73" s="1053">
        <f t="shared" si="73"/>
        <v>0</v>
      </c>
      <c r="BW73" s="1053">
        <f t="shared" si="73"/>
        <v>0</v>
      </c>
      <c r="BX73" s="1053">
        <f t="shared" si="73"/>
        <v>0</v>
      </c>
      <c r="BY73" s="1053">
        <f t="shared" si="73"/>
        <v>0</v>
      </c>
      <c r="BZ73" s="1053">
        <f t="shared" si="73"/>
        <v>0</v>
      </c>
      <c r="CA73" s="1053">
        <f t="shared" si="73"/>
        <v>0</v>
      </c>
      <c r="CB73" s="1053">
        <f t="shared" si="73"/>
        <v>0</v>
      </c>
      <c r="CC73" s="1053">
        <f t="shared" si="73"/>
        <v>0</v>
      </c>
      <c r="CD73" s="1053">
        <f t="shared" si="73"/>
        <v>0</v>
      </c>
      <c r="CE73" s="1053">
        <f t="shared" si="73"/>
        <v>0</v>
      </c>
      <c r="CF73" s="1053">
        <f t="shared" si="73"/>
        <v>0</v>
      </c>
      <c r="CG73" s="1053"/>
      <c r="CH73" s="1053"/>
      <c r="CI73" s="1053">
        <f aca="true" t="shared" si="74" ref="CI73:DN73">MAX(0,CI70-biodegcap)</f>
        <v>0</v>
      </c>
      <c r="CJ73" s="1053">
        <f t="shared" si="74"/>
        <v>0</v>
      </c>
      <c r="CK73" s="1053">
        <f t="shared" si="74"/>
        <v>0</v>
      </c>
      <c r="CL73" s="1053">
        <f t="shared" si="74"/>
        <v>0</v>
      </c>
      <c r="CM73" s="1053">
        <f t="shared" si="74"/>
        <v>0</v>
      </c>
      <c r="CN73" s="1053">
        <f t="shared" si="74"/>
        <v>752.5244539127079</v>
      </c>
      <c r="CO73" s="1053">
        <f t="shared" si="74"/>
        <v>2475.116511762856</v>
      </c>
      <c r="CP73" s="1053">
        <f t="shared" si="74"/>
        <v>2907.8146655599767</v>
      </c>
      <c r="CQ73" s="1053">
        <f t="shared" si="74"/>
        <v>2557.426838522185</v>
      </c>
      <c r="CR73" s="1053">
        <f t="shared" si="74"/>
        <v>1835.6926161890033</v>
      </c>
      <c r="CS73" s="1053">
        <f t="shared" si="74"/>
        <v>988.7877267097292</v>
      </c>
      <c r="CT73" s="1053">
        <f t="shared" si="74"/>
        <v>141.38617530936153</v>
      </c>
      <c r="CU73" s="1053">
        <f t="shared" si="74"/>
        <v>0</v>
      </c>
      <c r="CV73" s="1053">
        <f t="shared" si="74"/>
        <v>0</v>
      </c>
      <c r="CW73" s="1053">
        <f t="shared" si="74"/>
        <v>0</v>
      </c>
      <c r="CX73" s="1053">
        <f t="shared" si="74"/>
        <v>0</v>
      </c>
      <c r="CY73" s="1053">
        <f t="shared" si="74"/>
        <v>0</v>
      </c>
      <c r="CZ73" s="1053">
        <f t="shared" si="74"/>
        <v>0</v>
      </c>
      <c r="DA73" s="1053">
        <f t="shared" si="74"/>
        <v>0</v>
      </c>
      <c r="DB73" s="1053">
        <f t="shared" si="74"/>
        <v>0</v>
      </c>
      <c r="DC73" s="1053">
        <f t="shared" si="74"/>
        <v>0</v>
      </c>
      <c r="DD73" s="1053">
        <f t="shared" si="74"/>
        <v>0</v>
      </c>
      <c r="DE73" s="1053">
        <f t="shared" si="74"/>
        <v>0</v>
      </c>
      <c r="DF73" s="1053">
        <f t="shared" si="74"/>
        <v>0</v>
      </c>
      <c r="DG73" s="1053">
        <f t="shared" si="74"/>
        <v>0</v>
      </c>
      <c r="DH73" s="1053">
        <f t="shared" si="74"/>
        <v>0</v>
      </c>
      <c r="DI73" s="1053">
        <f t="shared" si="74"/>
        <v>0</v>
      </c>
      <c r="DJ73" s="1053">
        <f t="shared" si="74"/>
        <v>0</v>
      </c>
      <c r="DK73" s="1053">
        <f t="shared" si="74"/>
        <v>0</v>
      </c>
      <c r="DL73" s="1053">
        <f t="shared" si="74"/>
        <v>0</v>
      </c>
      <c r="DM73" s="1053">
        <f t="shared" si="74"/>
        <v>0</v>
      </c>
      <c r="DN73" s="1053">
        <f t="shared" si="74"/>
        <v>0</v>
      </c>
      <c r="DO73" s="1053">
        <f aca="true" t="shared" si="75" ref="DO73:EG73">MAX(0,DO70-biodegcap)</f>
        <v>0</v>
      </c>
      <c r="DP73" s="1053">
        <f t="shared" si="75"/>
        <v>0</v>
      </c>
      <c r="DQ73" s="1053">
        <f t="shared" si="75"/>
        <v>0</v>
      </c>
      <c r="DR73" s="1053">
        <f t="shared" si="75"/>
        <v>0</v>
      </c>
      <c r="DS73" s="1053">
        <f t="shared" si="75"/>
        <v>0</v>
      </c>
      <c r="DT73" s="1053">
        <f t="shared" si="75"/>
        <v>0</v>
      </c>
      <c r="DU73" s="1053">
        <f t="shared" si="75"/>
        <v>0</v>
      </c>
      <c r="DV73" s="1053">
        <f t="shared" si="75"/>
        <v>0</v>
      </c>
      <c r="DW73" s="1053">
        <f t="shared" si="75"/>
        <v>0</v>
      </c>
      <c r="DX73" s="1053">
        <f t="shared" si="75"/>
        <v>0</v>
      </c>
      <c r="DY73" s="1053">
        <f t="shared" si="75"/>
        <v>0</v>
      </c>
      <c r="DZ73" s="1053">
        <f t="shared" si="75"/>
        <v>0</v>
      </c>
      <c r="EA73" s="1053">
        <f t="shared" si="75"/>
        <v>0</v>
      </c>
      <c r="EB73" s="1053">
        <f t="shared" si="75"/>
        <v>0</v>
      </c>
      <c r="EC73" s="1053">
        <f t="shared" si="75"/>
        <v>0</v>
      </c>
      <c r="ED73" s="1053">
        <f t="shared" si="75"/>
        <v>0</v>
      </c>
      <c r="EE73" s="1053">
        <f t="shared" si="75"/>
        <v>0</v>
      </c>
      <c r="EF73" s="1053">
        <f t="shared" si="75"/>
        <v>0</v>
      </c>
      <c r="EG73" s="1053">
        <f t="shared" si="75"/>
        <v>0</v>
      </c>
      <c r="EH73" s="1053"/>
      <c r="EI73" s="1053"/>
      <c r="EJ73" s="1053">
        <f>MAX(0,EJ70-biodegcap)</f>
        <v>0</v>
      </c>
    </row>
    <row r="74" spans="1:39" ht="12.75" hidden="1">
      <c r="A74" s="342"/>
      <c r="B74" s="342"/>
      <c r="C74" s="342"/>
      <c r="D74" s="342"/>
      <c r="E74" s="342"/>
      <c r="F74" s="342"/>
      <c r="G74" s="342"/>
      <c r="H74" s="342"/>
      <c r="I74" s="342"/>
      <c r="J74" s="342"/>
      <c r="K74" s="342"/>
      <c r="L74" s="342"/>
      <c r="M74" s="342"/>
      <c r="N74" s="342"/>
      <c r="O74" s="342"/>
      <c r="P74" s="342"/>
      <c r="Q74" s="342"/>
      <c r="AD74" s="1045"/>
      <c r="AE74" s="1026"/>
      <c r="AF74" s="1026"/>
      <c r="AG74" s="1026"/>
      <c r="AH74" s="1026"/>
      <c r="AI74" s="1026"/>
      <c r="AJ74" s="1026"/>
      <c r="AK74" s="1026"/>
      <c r="AL74" s="1026"/>
      <c r="AM74" s="1026"/>
    </row>
    <row r="75" spans="1:39" ht="12.75">
      <c r="A75" s="342"/>
      <c r="B75" s="342"/>
      <c r="C75" s="342"/>
      <c r="D75" s="342"/>
      <c r="E75" s="342"/>
      <c r="F75" s="342"/>
      <c r="G75" s="342"/>
      <c r="H75" s="342"/>
      <c r="I75" s="342"/>
      <c r="J75" s="342"/>
      <c r="K75" s="342"/>
      <c r="L75" s="342"/>
      <c r="M75" s="342"/>
      <c r="N75" s="342"/>
      <c r="O75" s="342"/>
      <c r="P75" s="342"/>
      <c r="Q75" s="342"/>
      <c r="AD75" s="1051"/>
      <c r="AH75" s="1026"/>
      <c r="AI75" s="1026"/>
      <c r="AJ75" s="1026"/>
      <c r="AK75" s="1026"/>
      <c r="AL75" s="1026"/>
      <c r="AM75" s="1026"/>
    </row>
    <row r="76" spans="1:30" ht="12.75">
      <c r="A76" s="342"/>
      <c r="B76" s="342"/>
      <c r="C76" s="342"/>
      <c r="D76" s="342"/>
      <c r="E76" s="342"/>
      <c r="F76" s="342"/>
      <c r="G76" s="342"/>
      <c r="H76" s="342"/>
      <c r="I76" s="342"/>
      <c r="J76" s="342"/>
      <c r="K76" s="342"/>
      <c r="L76" s="342"/>
      <c r="M76" s="342"/>
      <c r="N76" s="342"/>
      <c r="O76" s="342"/>
      <c r="P76" s="342"/>
      <c r="Q76" s="342"/>
      <c r="AB76" s="524" t="s">
        <v>623</v>
      </c>
      <c r="AD76" s="1051"/>
    </row>
    <row r="77" spans="1:54" ht="12.75">
      <c r="A77" s="342"/>
      <c r="B77" s="342"/>
      <c r="C77" s="342"/>
      <c r="D77" s="342"/>
      <c r="E77" s="342"/>
      <c r="F77" s="342"/>
      <c r="G77" s="342"/>
      <c r="H77" s="342"/>
      <c r="I77" s="342"/>
      <c r="J77" s="342"/>
      <c r="K77" s="342"/>
      <c r="L77" s="342"/>
      <c r="M77" s="342"/>
      <c r="N77" s="342"/>
      <c r="O77" s="342"/>
      <c r="P77" s="342"/>
      <c r="Q77" s="342"/>
      <c r="AB77" s="713" t="s">
        <v>122</v>
      </c>
      <c r="AD77" s="768"/>
      <c r="AK77" s="1055" t="s">
        <v>633</v>
      </c>
      <c r="AL77" s="1056"/>
      <c r="AM77" s="1057"/>
      <c r="AN77" s="1056"/>
      <c r="AO77" s="1057"/>
      <c r="AR77" s="1129" t="s">
        <v>644</v>
      </c>
      <c r="AS77" s="1129" t="s">
        <v>635</v>
      </c>
      <c r="AT77" s="1129">
        <f>EXP(LN(t_siml)/5)</f>
        <v>1.6437518295172258</v>
      </c>
      <c r="AU77" s="1129"/>
      <c r="AV77" s="1129"/>
      <c r="AW77" s="1129"/>
      <c r="AX77" s="1130" t="s">
        <v>650</v>
      </c>
      <c r="AY77" s="1129"/>
      <c r="AZ77" s="1129" t="s">
        <v>635</v>
      </c>
      <c r="BA77" s="1129">
        <f>(t_siml)/5</f>
        <v>2.4</v>
      </c>
      <c r="BB77" s="1129"/>
    </row>
    <row r="78" spans="1:54" ht="12.75">
      <c r="A78" s="342"/>
      <c r="B78" s="342"/>
      <c r="C78" s="342"/>
      <c r="D78" s="342"/>
      <c r="E78" s="342"/>
      <c r="F78" s="342"/>
      <c r="G78" s="342"/>
      <c r="H78" s="342"/>
      <c r="I78" s="342"/>
      <c r="J78" s="342"/>
      <c r="K78" s="342"/>
      <c r="L78" s="342"/>
      <c r="M78" s="342"/>
      <c r="N78" s="342"/>
      <c r="O78" s="342"/>
      <c r="P78" s="342"/>
      <c r="Q78" s="342"/>
      <c r="AB78" s="1021" t="s">
        <v>207</v>
      </c>
      <c r="AD78" s="768">
        <v>1</v>
      </c>
      <c r="AK78" s="1058" t="s">
        <v>635</v>
      </c>
      <c r="AL78" s="1059">
        <f>(t_siml)/5</f>
        <v>2.4</v>
      </c>
      <c r="AM78" s="1060"/>
      <c r="AN78" s="1059" t="s">
        <v>634</v>
      </c>
      <c r="AO78" s="1060">
        <f>x_center/20</f>
        <v>40</v>
      </c>
      <c r="AR78" s="1129" t="s">
        <v>645</v>
      </c>
      <c r="AS78" s="1129" t="s">
        <v>646</v>
      </c>
      <c r="AT78" s="1129" t="s">
        <v>647</v>
      </c>
      <c r="AU78" s="1129" t="s">
        <v>648</v>
      </c>
      <c r="AV78" s="1129" t="s">
        <v>649</v>
      </c>
      <c r="AW78" s="1129"/>
      <c r="AX78" s="1129" t="s">
        <v>645</v>
      </c>
      <c r="AY78" s="1129" t="s">
        <v>646</v>
      </c>
      <c r="AZ78" s="1129" t="s">
        <v>647</v>
      </c>
      <c r="BA78" s="1129" t="s">
        <v>648</v>
      </c>
      <c r="BB78" s="1129" t="s">
        <v>649</v>
      </c>
    </row>
    <row r="79" spans="1:127" ht="12.75">
      <c r="A79" s="342"/>
      <c r="B79" s="342"/>
      <c r="C79" s="342"/>
      <c r="D79" s="342"/>
      <c r="E79" s="342"/>
      <c r="F79" s="342"/>
      <c r="G79" s="342"/>
      <c r="H79" s="342"/>
      <c r="I79" s="342"/>
      <c r="J79" s="342"/>
      <c r="K79" s="342"/>
      <c r="L79" s="342"/>
      <c r="M79" s="342"/>
      <c r="N79" s="342"/>
      <c r="O79" s="342"/>
      <c r="P79" s="342"/>
      <c r="Q79" s="342"/>
      <c r="AB79" s="1021" t="s">
        <v>208</v>
      </c>
      <c r="AD79" s="768">
        <f>(2*(alpha.x*Vc*t_SWLoad)^0.5)</f>
        <v>211.49558324432118</v>
      </c>
      <c r="AK79" s="1061" t="s">
        <v>636</v>
      </c>
      <c r="AL79" s="1061">
        <f>AL78</f>
        <v>2.4</v>
      </c>
      <c r="AM79" s="524" t="str">
        <f>" "&amp;AL79&amp;" year"</f>
        <v> 2.4 year</v>
      </c>
      <c r="AR79" s="1129">
        <f>log_dt</f>
        <v>1.6437518295172258</v>
      </c>
      <c r="AS79" s="1129">
        <f>log_dt^2</f>
        <v>2.7019200770412266</v>
      </c>
      <c r="AT79" s="1129">
        <f>log_dt^3</f>
        <v>4.44128606984584</v>
      </c>
      <c r="AU79" s="1129">
        <f>log_dt^4</f>
        <v>7.300372102718468</v>
      </c>
      <c r="AV79" s="1129">
        <f>log_dt^5</f>
        <v>11.999999999999998</v>
      </c>
      <c r="AW79" s="1129"/>
      <c r="AX79" s="1129">
        <f>$BA77</f>
        <v>2.4</v>
      </c>
      <c r="AY79" s="1129">
        <f>$BA77*2</f>
        <v>4.8</v>
      </c>
      <c r="AZ79" s="1129">
        <f>$BA77*3</f>
        <v>7.199999999999999</v>
      </c>
      <c r="BA79" s="1129">
        <f>$BA77*4</f>
        <v>9.6</v>
      </c>
      <c r="BB79" s="1129">
        <f>$BA77*5</f>
        <v>12</v>
      </c>
      <c r="BG79" s="713" t="s">
        <v>637</v>
      </c>
      <c r="BH79" s="713">
        <f>$AL$79*2</f>
        <v>4.8</v>
      </c>
      <c r="BI79" s="524" t="str">
        <f>" "&amp;BH79&amp;" year"</f>
        <v> 4.8 year</v>
      </c>
      <c r="CC79" s="713" t="s">
        <v>638</v>
      </c>
      <c r="CD79" s="713">
        <f>$AL$79*3</f>
        <v>7.199999999999999</v>
      </c>
      <c r="CE79" s="524" t="str">
        <f>" "&amp;CD79&amp;" year"</f>
        <v> 7.2 year</v>
      </c>
      <c r="CY79" s="713" t="s">
        <v>639</v>
      </c>
      <c r="CZ79" s="713">
        <f>$AL$79*4</f>
        <v>9.6</v>
      </c>
      <c r="DA79" s="524" t="str">
        <f>" "&amp;CZ79&amp;" year"</f>
        <v> 9.6 year</v>
      </c>
      <c r="DU79" s="713" t="s">
        <v>640</v>
      </c>
      <c r="DV79" s="713">
        <f>$AL$79*5</f>
        <v>12</v>
      </c>
      <c r="DW79" s="524" t="str">
        <f>" "&amp;DV79&amp;" year"</f>
        <v> 12 year</v>
      </c>
    </row>
    <row r="80" spans="1:145" ht="12.75">
      <c r="A80" s="342"/>
      <c r="B80" s="342"/>
      <c r="C80" s="342"/>
      <c r="D80" s="342"/>
      <c r="E80" s="342"/>
      <c r="F80" s="342"/>
      <c r="G80" s="342"/>
      <c r="H80" s="342"/>
      <c r="I80" s="342"/>
      <c r="J80" s="342"/>
      <c r="K80" s="342"/>
      <c r="L80" s="342"/>
      <c r="M80" s="342"/>
      <c r="N80" s="342"/>
      <c r="O80" s="342"/>
      <c r="P80" s="342"/>
      <c r="Q80" s="342"/>
      <c r="AB80" s="1021" t="s">
        <v>211</v>
      </c>
      <c r="AD80" s="768" t="s">
        <v>281</v>
      </c>
      <c r="AJ80" s="1021" t="s">
        <v>207</v>
      </c>
      <c r="AK80" s="1055">
        <v>1</v>
      </c>
      <c r="AL80" s="1056">
        <v>1</v>
      </c>
      <c r="AM80" s="1056">
        <v>1</v>
      </c>
      <c r="AN80" s="1056">
        <v>1</v>
      </c>
      <c r="AO80" s="1056">
        <v>1</v>
      </c>
      <c r="AP80" s="1056">
        <v>1</v>
      </c>
      <c r="AQ80" s="1056">
        <v>1</v>
      </c>
      <c r="AR80" s="1056">
        <v>1</v>
      </c>
      <c r="AS80" s="1056">
        <v>1</v>
      </c>
      <c r="AT80" s="1056">
        <v>1</v>
      </c>
      <c r="AU80" s="1056">
        <v>1</v>
      </c>
      <c r="AV80" s="1056">
        <v>1</v>
      </c>
      <c r="AW80" s="1056">
        <v>1</v>
      </c>
      <c r="AX80" s="1056">
        <v>1</v>
      </c>
      <c r="AY80" s="1056">
        <v>1</v>
      </c>
      <c r="AZ80" s="1056">
        <v>1</v>
      </c>
      <c r="BA80" s="1056">
        <v>1</v>
      </c>
      <c r="BB80" s="1056">
        <v>1</v>
      </c>
      <c r="BC80" s="1056">
        <v>1</v>
      </c>
      <c r="BD80" s="1056">
        <v>1</v>
      </c>
      <c r="BE80" s="1057">
        <v>1</v>
      </c>
      <c r="BG80" s="1055">
        <v>1</v>
      </c>
      <c r="BH80" s="1056">
        <v>1</v>
      </c>
      <c r="BI80" s="1056">
        <v>1</v>
      </c>
      <c r="BJ80" s="1056">
        <v>1</v>
      </c>
      <c r="BK80" s="1056">
        <v>1</v>
      </c>
      <c r="BL80" s="1056">
        <v>1</v>
      </c>
      <c r="BM80" s="1056">
        <v>1</v>
      </c>
      <c r="BN80" s="1056">
        <v>1</v>
      </c>
      <c r="BO80" s="1056">
        <v>1</v>
      </c>
      <c r="BP80" s="1056">
        <v>1</v>
      </c>
      <c r="BQ80" s="1056">
        <v>1</v>
      </c>
      <c r="BR80" s="1056">
        <v>1</v>
      </c>
      <c r="BS80" s="1056">
        <v>1</v>
      </c>
      <c r="BT80" s="1056">
        <v>1</v>
      </c>
      <c r="BU80" s="1056">
        <v>1</v>
      </c>
      <c r="BV80" s="1056">
        <v>1</v>
      </c>
      <c r="BW80" s="1056">
        <v>1</v>
      </c>
      <c r="BX80" s="1056">
        <v>1</v>
      </c>
      <c r="BY80" s="1056">
        <v>1</v>
      </c>
      <c r="BZ80" s="1056">
        <v>1</v>
      </c>
      <c r="CA80" s="1057">
        <v>1</v>
      </c>
      <c r="CC80" s="1055">
        <v>1</v>
      </c>
      <c r="CD80" s="1056">
        <v>1</v>
      </c>
      <c r="CE80" s="1056">
        <v>1</v>
      </c>
      <c r="CF80" s="1056">
        <v>1</v>
      </c>
      <c r="CG80" s="1056">
        <v>1</v>
      </c>
      <c r="CH80" s="1056">
        <v>1</v>
      </c>
      <c r="CI80" s="1056">
        <v>1</v>
      </c>
      <c r="CJ80" s="1056">
        <v>1</v>
      </c>
      <c r="CK80" s="1056">
        <v>1</v>
      </c>
      <c r="CL80" s="1056">
        <v>1</v>
      </c>
      <c r="CM80" s="1056">
        <v>1</v>
      </c>
      <c r="CN80" s="1056">
        <v>1</v>
      </c>
      <c r="CO80" s="1056">
        <v>1</v>
      </c>
      <c r="CP80" s="1056">
        <v>1</v>
      </c>
      <c r="CQ80" s="1056">
        <v>1</v>
      </c>
      <c r="CR80" s="1056">
        <v>1</v>
      </c>
      <c r="CS80" s="1056">
        <v>1</v>
      </c>
      <c r="CT80" s="1056">
        <v>1</v>
      </c>
      <c r="CU80" s="1056">
        <v>1</v>
      </c>
      <c r="CV80" s="1056">
        <v>1</v>
      </c>
      <c r="CW80" s="1057">
        <v>1</v>
      </c>
      <c r="CY80" s="1055">
        <v>1</v>
      </c>
      <c r="CZ80" s="1056">
        <v>1</v>
      </c>
      <c r="DA80" s="1056">
        <v>1</v>
      </c>
      <c r="DB80" s="1056">
        <v>1</v>
      </c>
      <c r="DC80" s="1056">
        <v>1</v>
      </c>
      <c r="DD80" s="1056">
        <v>1</v>
      </c>
      <c r="DE80" s="1056">
        <v>1</v>
      </c>
      <c r="DF80" s="1056">
        <v>1</v>
      </c>
      <c r="DG80" s="1056">
        <v>1</v>
      </c>
      <c r="DH80" s="1056">
        <v>1</v>
      </c>
      <c r="DI80" s="1056">
        <v>1</v>
      </c>
      <c r="DJ80" s="1056">
        <v>1</v>
      </c>
      <c r="DK80" s="1056">
        <v>1</v>
      </c>
      <c r="DL80" s="1056">
        <v>1</v>
      </c>
      <c r="DM80" s="1056">
        <v>1</v>
      </c>
      <c r="DN80" s="1056">
        <v>1</v>
      </c>
      <c r="DO80" s="1056">
        <v>1</v>
      </c>
      <c r="DP80" s="1056">
        <v>1</v>
      </c>
      <c r="DQ80" s="1056">
        <v>1</v>
      </c>
      <c r="DR80" s="1056">
        <v>1</v>
      </c>
      <c r="DS80" s="1057">
        <v>1</v>
      </c>
      <c r="DU80" s="1055">
        <v>1</v>
      </c>
      <c r="DV80" s="1056">
        <v>1</v>
      </c>
      <c r="DW80" s="1056">
        <v>1</v>
      </c>
      <c r="DX80" s="1056">
        <v>1</v>
      </c>
      <c r="DY80" s="1056">
        <v>1</v>
      </c>
      <c r="DZ80" s="1056">
        <v>1</v>
      </c>
      <c r="EA80" s="1056">
        <v>1</v>
      </c>
      <c r="EB80" s="1056">
        <v>1</v>
      </c>
      <c r="EC80" s="1056">
        <v>1</v>
      </c>
      <c r="ED80" s="1056">
        <v>1</v>
      </c>
      <c r="EE80" s="1056">
        <v>1</v>
      </c>
      <c r="EF80" s="1056">
        <v>1</v>
      </c>
      <c r="EG80" s="1056">
        <v>1</v>
      </c>
      <c r="EH80" s="1056">
        <v>1</v>
      </c>
      <c r="EI80" s="1056">
        <v>1</v>
      </c>
      <c r="EJ80" s="1056">
        <v>1</v>
      </c>
      <c r="EK80" s="1056">
        <v>1</v>
      </c>
      <c r="EL80" s="1056">
        <v>1</v>
      </c>
      <c r="EM80" s="1056">
        <v>1</v>
      </c>
      <c r="EN80" s="1056">
        <v>1</v>
      </c>
      <c r="EO80" s="1057">
        <v>1</v>
      </c>
    </row>
    <row r="81" spans="1:145" ht="12.75">
      <c r="A81" s="342"/>
      <c r="B81" s="342"/>
      <c r="C81" s="342"/>
      <c r="D81" s="342"/>
      <c r="E81" s="342"/>
      <c r="F81" s="342"/>
      <c r="G81" s="342"/>
      <c r="H81" s="342"/>
      <c r="I81" s="342"/>
      <c r="J81" s="342"/>
      <c r="K81" s="342"/>
      <c r="L81" s="342"/>
      <c r="M81" s="342"/>
      <c r="N81" s="342"/>
      <c r="O81" s="342"/>
      <c r="P81" s="342"/>
      <c r="Q81" s="342"/>
      <c r="AB81" s="1021" t="s">
        <v>209</v>
      </c>
      <c r="AD81" s="768">
        <f>t_SWLoad</f>
        <v>15</v>
      </c>
      <c r="AJ81" s="1021" t="s">
        <v>208</v>
      </c>
      <c r="AK81" s="1062">
        <f aca="true" t="shared" si="76" ref="AK81:BE81">(2*(alpha.x*Vc*AK83)^0.5)</f>
        <v>84.59823329772848</v>
      </c>
      <c r="AL81" s="1063">
        <f t="shared" si="76"/>
        <v>84.59823329772848</v>
      </c>
      <c r="AM81" s="1063">
        <f t="shared" si="76"/>
        <v>84.59823329772848</v>
      </c>
      <c r="AN81" s="1063">
        <f t="shared" si="76"/>
        <v>84.59823329772848</v>
      </c>
      <c r="AO81" s="1063">
        <f t="shared" si="76"/>
        <v>84.59823329772848</v>
      </c>
      <c r="AP81" s="1063">
        <f t="shared" si="76"/>
        <v>84.59823329772848</v>
      </c>
      <c r="AQ81" s="1063">
        <f t="shared" si="76"/>
        <v>84.59823329772848</v>
      </c>
      <c r="AR81" s="1063">
        <f t="shared" si="76"/>
        <v>84.59823329772848</v>
      </c>
      <c r="AS81" s="1063">
        <f t="shared" si="76"/>
        <v>84.59823329772848</v>
      </c>
      <c r="AT81" s="1063">
        <f t="shared" si="76"/>
        <v>84.59823329772848</v>
      </c>
      <c r="AU81" s="1063">
        <f t="shared" si="76"/>
        <v>84.59823329772848</v>
      </c>
      <c r="AV81" s="1063">
        <f t="shared" si="76"/>
        <v>84.59823329772848</v>
      </c>
      <c r="AW81" s="1063">
        <f t="shared" si="76"/>
        <v>84.59823329772848</v>
      </c>
      <c r="AX81" s="1063">
        <f t="shared" si="76"/>
        <v>84.59823329772848</v>
      </c>
      <c r="AY81" s="1063">
        <f t="shared" si="76"/>
        <v>84.59823329772848</v>
      </c>
      <c r="AZ81" s="1063">
        <f t="shared" si="76"/>
        <v>84.59823329772848</v>
      </c>
      <c r="BA81" s="1063">
        <f t="shared" si="76"/>
        <v>84.59823329772848</v>
      </c>
      <c r="BB81" s="1063">
        <f t="shared" si="76"/>
        <v>84.59823329772848</v>
      </c>
      <c r="BC81" s="1063">
        <f t="shared" si="76"/>
        <v>84.59823329772848</v>
      </c>
      <c r="BD81" s="1063">
        <f t="shared" si="76"/>
        <v>84.59823329772848</v>
      </c>
      <c r="BE81" s="1064">
        <f t="shared" si="76"/>
        <v>84.59823329772848</v>
      </c>
      <c r="BG81" s="1062">
        <f aca="true" t="shared" si="77" ref="BG81:CA81">(2*(alpha.x*Vc*BG83)^0.5)</f>
        <v>119.63996888245077</v>
      </c>
      <c r="BH81" s="1063">
        <f t="shared" si="77"/>
        <v>119.63996888245077</v>
      </c>
      <c r="BI81" s="1063">
        <f t="shared" si="77"/>
        <v>119.63996888245077</v>
      </c>
      <c r="BJ81" s="1063">
        <f t="shared" si="77"/>
        <v>119.63996888245077</v>
      </c>
      <c r="BK81" s="1063">
        <f t="shared" si="77"/>
        <v>119.63996888245077</v>
      </c>
      <c r="BL81" s="1063">
        <f t="shared" si="77"/>
        <v>119.63996888245077</v>
      </c>
      <c r="BM81" s="1063">
        <f t="shared" si="77"/>
        <v>119.63996888245077</v>
      </c>
      <c r="BN81" s="1063">
        <f t="shared" si="77"/>
        <v>119.63996888245077</v>
      </c>
      <c r="BO81" s="1063">
        <f t="shared" si="77"/>
        <v>119.63996888245077</v>
      </c>
      <c r="BP81" s="1063">
        <f t="shared" si="77"/>
        <v>119.63996888245077</v>
      </c>
      <c r="BQ81" s="1063">
        <f t="shared" si="77"/>
        <v>119.63996888245077</v>
      </c>
      <c r="BR81" s="1063">
        <f t="shared" si="77"/>
        <v>119.63996888245077</v>
      </c>
      <c r="BS81" s="1063">
        <f t="shared" si="77"/>
        <v>119.63996888245077</v>
      </c>
      <c r="BT81" s="1063">
        <f t="shared" si="77"/>
        <v>119.63996888245077</v>
      </c>
      <c r="BU81" s="1063">
        <f t="shared" si="77"/>
        <v>119.63996888245077</v>
      </c>
      <c r="BV81" s="1063">
        <f t="shared" si="77"/>
        <v>119.63996888245077</v>
      </c>
      <c r="BW81" s="1063">
        <f t="shared" si="77"/>
        <v>119.63996888245077</v>
      </c>
      <c r="BX81" s="1063">
        <f t="shared" si="77"/>
        <v>119.63996888245077</v>
      </c>
      <c r="BY81" s="1063">
        <f t="shared" si="77"/>
        <v>119.63996888245077</v>
      </c>
      <c r="BZ81" s="1063">
        <f t="shared" si="77"/>
        <v>119.63996888245077</v>
      </c>
      <c r="CA81" s="1064">
        <f t="shared" si="77"/>
        <v>119.63996888245077</v>
      </c>
      <c r="CC81" s="1062">
        <f aca="true" t="shared" si="78" ref="CC81:CW81">(2*(alpha.x*Vc*CC83)^0.5)</f>
        <v>146.52843830223088</v>
      </c>
      <c r="CD81" s="1063">
        <f t="shared" si="78"/>
        <v>146.52843830223088</v>
      </c>
      <c r="CE81" s="1063">
        <f t="shared" si="78"/>
        <v>146.52843830223088</v>
      </c>
      <c r="CF81" s="1063">
        <f t="shared" si="78"/>
        <v>146.52843830223088</v>
      </c>
      <c r="CG81" s="1063">
        <f t="shared" si="78"/>
        <v>146.52843830223088</v>
      </c>
      <c r="CH81" s="1063">
        <f t="shared" si="78"/>
        <v>146.52843830223088</v>
      </c>
      <c r="CI81" s="1063">
        <f t="shared" si="78"/>
        <v>146.52843830223088</v>
      </c>
      <c r="CJ81" s="1063">
        <f t="shared" si="78"/>
        <v>146.52843830223088</v>
      </c>
      <c r="CK81" s="1063">
        <f t="shared" si="78"/>
        <v>146.52843830223088</v>
      </c>
      <c r="CL81" s="1063">
        <f t="shared" si="78"/>
        <v>146.52843830223088</v>
      </c>
      <c r="CM81" s="1063">
        <f t="shared" si="78"/>
        <v>146.52843830223088</v>
      </c>
      <c r="CN81" s="1063">
        <f t="shared" si="78"/>
        <v>146.52843830223088</v>
      </c>
      <c r="CO81" s="1063">
        <f t="shared" si="78"/>
        <v>146.52843830223088</v>
      </c>
      <c r="CP81" s="1063">
        <f t="shared" si="78"/>
        <v>146.52843830223088</v>
      </c>
      <c r="CQ81" s="1063">
        <f t="shared" si="78"/>
        <v>146.52843830223088</v>
      </c>
      <c r="CR81" s="1063">
        <f t="shared" si="78"/>
        <v>146.52843830223088</v>
      </c>
      <c r="CS81" s="1063">
        <f t="shared" si="78"/>
        <v>146.52843830223088</v>
      </c>
      <c r="CT81" s="1063">
        <f t="shared" si="78"/>
        <v>146.52843830223088</v>
      </c>
      <c r="CU81" s="1063">
        <f t="shared" si="78"/>
        <v>146.52843830223088</v>
      </c>
      <c r="CV81" s="1063">
        <f t="shared" si="78"/>
        <v>146.52843830223088</v>
      </c>
      <c r="CW81" s="1064">
        <f t="shared" si="78"/>
        <v>146.52843830223088</v>
      </c>
      <c r="CY81" s="1062">
        <f aca="true" t="shared" si="79" ref="CY81:DS81">(2*(alpha.x*Vc*CY83)^0.5)</f>
        <v>169.19646659545697</v>
      </c>
      <c r="CZ81" s="1063">
        <f t="shared" si="79"/>
        <v>169.19646659545697</v>
      </c>
      <c r="DA81" s="1063">
        <f t="shared" si="79"/>
        <v>169.19646659545697</v>
      </c>
      <c r="DB81" s="1063">
        <f t="shared" si="79"/>
        <v>169.19646659545697</v>
      </c>
      <c r="DC81" s="1063">
        <f t="shared" si="79"/>
        <v>169.19646659545697</v>
      </c>
      <c r="DD81" s="1063">
        <f t="shared" si="79"/>
        <v>169.19646659545697</v>
      </c>
      <c r="DE81" s="1063">
        <f t="shared" si="79"/>
        <v>169.19646659545697</v>
      </c>
      <c r="DF81" s="1063">
        <f t="shared" si="79"/>
        <v>169.19646659545697</v>
      </c>
      <c r="DG81" s="1063">
        <f t="shared" si="79"/>
        <v>169.19646659545697</v>
      </c>
      <c r="DH81" s="1063">
        <f t="shared" si="79"/>
        <v>169.19646659545697</v>
      </c>
      <c r="DI81" s="1063">
        <f t="shared" si="79"/>
        <v>169.19646659545697</v>
      </c>
      <c r="DJ81" s="1063">
        <f t="shared" si="79"/>
        <v>169.19646659545697</v>
      </c>
      <c r="DK81" s="1063">
        <f t="shared" si="79"/>
        <v>169.19646659545697</v>
      </c>
      <c r="DL81" s="1063">
        <f t="shared" si="79"/>
        <v>169.19646659545697</v>
      </c>
      <c r="DM81" s="1063">
        <f t="shared" si="79"/>
        <v>169.19646659545697</v>
      </c>
      <c r="DN81" s="1063">
        <f t="shared" si="79"/>
        <v>169.19646659545697</v>
      </c>
      <c r="DO81" s="1063">
        <f t="shared" si="79"/>
        <v>169.19646659545697</v>
      </c>
      <c r="DP81" s="1063">
        <f t="shared" si="79"/>
        <v>169.19646659545697</v>
      </c>
      <c r="DQ81" s="1063">
        <f t="shared" si="79"/>
        <v>169.19646659545697</v>
      </c>
      <c r="DR81" s="1063">
        <f t="shared" si="79"/>
        <v>169.19646659545697</v>
      </c>
      <c r="DS81" s="1064">
        <f t="shared" si="79"/>
        <v>169.19646659545697</v>
      </c>
      <c r="DU81" s="1062">
        <f aca="true" t="shared" si="80" ref="DU81:EO81">(2*(alpha.x*Vc*DU83)^0.5)</f>
        <v>189.16740043010708</v>
      </c>
      <c r="DV81" s="1063">
        <f t="shared" si="80"/>
        <v>189.16740043010708</v>
      </c>
      <c r="DW81" s="1063">
        <f t="shared" si="80"/>
        <v>189.16740043010708</v>
      </c>
      <c r="DX81" s="1063">
        <f t="shared" si="80"/>
        <v>189.16740043010708</v>
      </c>
      <c r="DY81" s="1063">
        <f t="shared" si="80"/>
        <v>189.16740043010708</v>
      </c>
      <c r="DZ81" s="1063">
        <f t="shared" si="80"/>
        <v>189.16740043010708</v>
      </c>
      <c r="EA81" s="1063">
        <f t="shared" si="80"/>
        <v>189.16740043010708</v>
      </c>
      <c r="EB81" s="1063">
        <f t="shared" si="80"/>
        <v>189.16740043010708</v>
      </c>
      <c r="EC81" s="1063">
        <f t="shared" si="80"/>
        <v>189.16740043010708</v>
      </c>
      <c r="ED81" s="1063">
        <f t="shared" si="80"/>
        <v>189.16740043010708</v>
      </c>
      <c r="EE81" s="1063">
        <f t="shared" si="80"/>
        <v>189.16740043010708</v>
      </c>
      <c r="EF81" s="1063">
        <f t="shared" si="80"/>
        <v>189.16740043010708</v>
      </c>
      <c r="EG81" s="1063">
        <f t="shared" si="80"/>
        <v>189.16740043010708</v>
      </c>
      <c r="EH81" s="1063">
        <f t="shared" si="80"/>
        <v>189.16740043010708</v>
      </c>
      <c r="EI81" s="1063">
        <f t="shared" si="80"/>
        <v>189.16740043010708</v>
      </c>
      <c r="EJ81" s="1063">
        <f t="shared" si="80"/>
        <v>189.16740043010708</v>
      </c>
      <c r="EK81" s="1063">
        <f t="shared" si="80"/>
        <v>189.16740043010708</v>
      </c>
      <c r="EL81" s="1063">
        <f t="shared" si="80"/>
        <v>189.16740043010708</v>
      </c>
      <c r="EM81" s="1063">
        <f t="shared" si="80"/>
        <v>189.16740043010708</v>
      </c>
      <c r="EN81" s="1063">
        <f t="shared" si="80"/>
        <v>189.16740043010708</v>
      </c>
      <c r="EO81" s="1064">
        <f t="shared" si="80"/>
        <v>189.16740043010708</v>
      </c>
    </row>
    <row r="82" spans="1:145" ht="12.75">
      <c r="A82" s="342"/>
      <c r="B82" s="342"/>
      <c r="C82" s="342"/>
      <c r="D82" s="342"/>
      <c r="E82" s="342"/>
      <c r="F82" s="342"/>
      <c r="G82" s="342"/>
      <c r="H82" s="342"/>
      <c r="I82" s="342"/>
      <c r="J82" s="342"/>
      <c r="K82" s="342"/>
      <c r="L82" s="342"/>
      <c r="M82" s="342"/>
      <c r="N82" s="342"/>
      <c r="O82" s="342"/>
      <c r="P82" s="342"/>
      <c r="Q82" s="342"/>
      <c r="AB82" s="1021" t="s">
        <v>192</v>
      </c>
      <c r="AD82" s="1065">
        <f>X_SWLoad</f>
        <v>150</v>
      </c>
      <c r="AJ82" s="1021" t="s">
        <v>211</v>
      </c>
      <c r="AK82" s="1066"/>
      <c r="AL82" s="766"/>
      <c r="AM82" s="766"/>
      <c r="AN82" s="766"/>
      <c r="AO82" s="766"/>
      <c r="AP82" s="766"/>
      <c r="AQ82" s="766"/>
      <c r="AR82" s="766"/>
      <c r="AS82" s="766"/>
      <c r="AT82" s="766"/>
      <c r="AU82" s="766"/>
      <c r="AV82" s="766"/>
      <c r="AW82" s="766"/>
      <c r="AX82" s="766"/>
      <c r="AY82" s="766"/>
      <c r="AZ82" s="766"/>
      <c r="BA82" s="766"/>
      <c r="BB82" s="766"/>
      <c r="BC82" s="766"/>
      <c r="BD82" s="766"/>
      <c r="BE82" s="1067"/>
      <c r="BG82" s="1066"/>
      <c r="BH82" s="766"/>
      <c r="BI82" s="766"/>
      <c r="BJ82" s="766"/>
      <c r="BK82" s="766"/>
      <c r="BL82" s="766"/>
      <c r="BM82" s="766"/>
      <c r="BN82" s="766"/>
      <c r="BO82" s="766"/>
      <c r="BP82" s="766"/>
      <c r="BQ82" s="766"/>
      <c r="BR82" s="766"/>
      <c r="BS82" s="766"/>
      <c r="BT82" s="766"/>
      <c r="BU82" s="766"/>
      <c r="BV82" s="766"/>
      <c r="BW82" s="766"/>
      <c r="BX82" s="766"/>
      <c r="BY82" s="766"/>
      <c r="BZ82" s="766"/>
      <c r="CA82" s="1067"/>
      <c r="CC82" s="1066"/>
      <c r="CD82" s="766"/>
      <c r="CE82" s="766"/>
      <c r="CF82" s="766"/>
      <c r="CG82" s="766"/>
      <c r="CH82" s="766"/>
      <c r="CI82" s="766"/>
      <c r="CJ82" s="766"/>
      <c r="CK82" s="766"/>
      <c r="CL82" s="766"/>
      <c r="CM82" s="766"/>
      <c r="CN82" s="766"/>
      <c r="CO82" s="766"/>
      <c r="CP82" s="766"/>
      <c r="CQ82" s="766"/>
      <c r="CR82" s="766"/>
      <c r="CS82" s="766"/>
      <c r="CT82" s="766"/>
      <c r="CU82" s="766"/>
      <c r="CV82" s="766"/>
      <c r="CW82" s="1067"/>
      <c r="CY82" s="1066"/>
      <c r="CZ82" s="766"/>
      <c r="DA82" s="766"/>
      <c r="DB82" s="766"/>
      <c r="DC82" s="766"/>
      <c r="DD82" s="766"/>
      <c r="DE82" s="766"/>
      <c r="DF82" s="766"/>
      <c r="DG82" s="766"/>
      <c r="DH82" s="766"/>
      <c r="DI82" s="766"/>
      <c r="DJ82" s="766"/>
      <c r="DK82" s="766"/>
      <c r="DL82" s="766"/>
      <c r="DM82" s="766"/>
      <c r="DN82" s="766"/>
      <c r="DO82" s="766"/>
      <c r="DP82" s="766"/>
      <c r="DQ82" s="766"/>
      <c r="DR82" s="766"/>
      <c r="DS82" s="1067"/>
      <c r="DU82" s="1066"/>
      <c r="DV82" s="766"/>
      <c r="DW82" s="766"/>
      <c r="DX82" s="766"/>
      <c r="DY82" s="766"/>
      <c r="DZ82" s="766"/>
      <c r="EA82" s="766"/>
      <c r="EB82" s="766"/>
      <c r="EC82" s="766"/>
      <c r="ED82" s="766"/>
      <c r="EE82" s="766"/>
      <c r="EF82" s="766"/>
      <c r="EG82" s="766"/>
      <c r="EH82" s="766"/>
      <c r="EI82" s="766"/>
      <c r="EJ82" s="766"/>
      <c r="EK82" s="766"/>
      <c r="EL82" s="766"/>
      <c r="EM82" s="766"/>
      <c r="EN82" s="766"/>
      <c r="EO82" s="1067"/>
    </row>
    <row r="83" spans="1:145" ht="12.75">
      <c r="A83" s="342"/>
      <c r="B83" s="342"/>
      <c r="C83" s="342"/>
      <c r="D83" s="342"/>
      <c r="E83" s="342"/>
      <c r="F83" s="342"/>
      <c r="G83" s="342"/>
      <c r="H83" s="342"/>
      <c r="I83" s="342"/>
      <c r="J83" s="342"/>
      <c r="K83" s="342"/>
      <c r="L83" s="342"/>
      <c r="M83" s="342"/>
      <c r="N83" s="342"/>
      <c r="O83" s="342"/>
      <c r="P83" s="342"/>
      <c r="Q83" s="342"/>
      <c r="AB83" s="1021" t="s">
        <v>200</v>
      </c>
      <c r="AD83" s="1065">
        <v>0</v>
      </c>
      <c r="AJ83" s="1021" t="s">
        <v>209</v>
      </c>
      <c r="AK83" s="1066">
        <f aca="true" t="shared" si="81" ref="AK83:BE83">$AL$79</f>
        <v>2.4</v>
      </c>
      <c r="AL83" s="766">
        <f t="shared" si="81"/>
        <v>2.4</v>
      </c>
      <c r="AM83" s="766">
        <f t="shared" si="81"/>
        <v>2.4</v>
      </c>
      <c r="AN83" s="766">
        <f t="shared" si="81"/>
        <v>2.4</v>
      </c>
      <c r="AO83" s="766">
        <f t="shared" si="81"/>
        <v>2.4</v>
      </c>
      <c r="AP83" s="766">
        <f t="shared" si="81"/>
        <v>2.4</v>
      </c>
      <c r="AQ83" s="766">
        <f t="shared" si="81"/>
        <v>2.4</v>
      </c>
      <c r="AR83" s="766">
        <f t="shared" si="81"/>
        <v>2.4</v>
      </c>
      <c r="AS83" s="766">
        <f t="shared" si="81"/>
        <v>2.4</v>
      </c>
      <c r="AT83" s="766">
        <f t="shared" si="81"/>
        <v>2.4</v>
      </c>
      <c r="AU83" s="766">
        <f t="shared" si="81"/>
        <v>2.4</v>
      </c>
      <c r="AV83" s="766">
        <f t="shared" si="81"/>
        <v>2.4</v>
      </c>
      <c r="AW83" s="766">
        <f t="shared" si="81"/>
        <v>2.4</v>
      </c>
      <c r="AX83" s="766">
        <f t="shared" si="81"/>
        <v>2.4</v>
      </c>
      <c r="AY83" s="766">
        <f t="shared" si="81"/>
        <v>2.4</v>
      </c>
      <c r="AZ83" s="766">
        <f t="shared" si="81"/>
        <v>2.4</v>
      </c>
      <c r="BA83" s="766">
        <f t="shared" si="81"/>
        <v>2.4</v>
      </c>
      <c r="BB83" s="766">
        <f t="shared" si="81"/>
        <v>2.4</v>
      </c>
      <c r="BC83" s="766">
        <f t="shared" si="81"/>
        <v>2.4</v>
      </c>
      <c r="BD83" s="766">
        <f t="shared" si="81"/>
        <v>2.4</v>
      </c>
      <c r="BE83" s="1067">
        <f t="shared" si="81"/>
        <v>2.4</v>
      </c>
      <c r="BG83" s="1066">
        <f aca="true" t="shared" si="82" ref="BG83:CA83">$BH$79</f>
        <v>4.8</v>
      </c>
      <c r="BH83" s="1066">
        <f t="shared" si="82"/>
        <v>4.8</v>
      </c>
      <c r="BI83" s="1066">
        <f t="shared" si="82"/>
        <v>4.8</v>
      </c>
      <c r="BJ83" s="1066">
        <f t="shared" si="82"/>
        <v>4.8</v>
      </c>
      <c r="BK83" s="1066">
        <f t="shared" si="82"/>
        <v>4.8</v>
      </c>
      <c r="BL83" s="1066">
        <f t="shared" si="82"/>
        <v>4.8</v>
      </c>
      <c r="BM83" s="1066">
        <f t="shared" si="82"/>
        <v>4.8</v>
      </c>
      <c r="BN83" s="1066">
        <f t="shared" si="82"/>
        <v>4.8</v>
      </c>
      <c r="BO83" s="1066">
        <f t="shared" si="82"/>
        <v>4.8</v>
      </c>
      <c r="BP83" s="1066">
        <f t="shared" si="82"/>
        <v>4.8</v>
      </c>
      <c r="BQ83" s="1066">
        <f t="shared" si="82"/>
        <v>4.8</v>
      </c>
      <c r="BR83" s="1066">
        <f t="shared" si="82"/>
        <v>4.8</v>
      </c>
      <c r="BS83" s="1066">
        <f t="shared" si="82"/>
        <v>4.8</v>
      </c>
      <c r="BT83" s="1066">
        <f t="shared" si="82"/>
        <v>4.8</v>
      </c>
      <c r="BU83" s="1066">
        <f t="shared" si="82"/>
        <v>4.8</v>
      </c>
      <c r="BV83" s="1066">
        <f t="shared" si="82"/>
        <v>4.8</v>
      </c>
      <c r="BW83" s="1066">
        <f t="shared" si="82"/>
        <v>4.8</v>
      </c>
      <c r="BX83" s="1066">
        <f t="shared" si="82"/>
        <v>4.8</v>
      </c>
      <c r="BY83" s="1066">
        <f t="shared" si="82"/>
        <v>4.8</v>
      </c>
      <c r="BZ83" s="1066">
        <f t="shared" si="82"/>
        <v>4.8</v>
      </c>
      <c r="CA83" s="1066">
        <f t="shared" si="82"/>
        <v>4.8</v>
      </c>
      <c r="CC83" s="1066">
        <f aca="true" t="shared" si="83" ref="CC83:CW83">$CD$79</f>
        <v>7.199999999999999</v>
      </c>
      <c r="CD83" s="1066">
        <f t="shared" si="83"/>
        <v>7.199999999999999</v>
      </c>
      <c r="CE83" s="1066">
        <f t="shared" si="83"/>
        <v>7.199999999999999</v>
      </c>
      <c r="CF83" s="1066">
        <f t="shared" si="83"/>
        <v>7.199999999999999</v>
      </c>
      <c r="CG83" s="1066">
        <f t="shared" si="83"/>
        <v>7.199999999999999</v>
      </c>
      <c r="CH83" s="1066">
        <f t="shared" si="83"/>
        <v>7.199999999999999</v>
      </c>
      <c r="CI83" s="1066">
        <f t="shared" si="83"/>
        <v>7.199999999999999</v>
      </c>
      <c r="CJ83" s="1066">
        <f t="shared" si="83"/>
        <v>7.199999999999999</v>
      </c>
      <c r="CK83" s="1066">
        <f t="shared" si="83"/>
        <v>7.199999999999999</v>
      </c>
      <c r="CL83" s="1066">
        <f t="shared" si="83"/>
        <v>7.199999999999999</v>
      </c>
      <c r="CM83" s="1066">
        <f t="shared" si="83"/>
        <v>7.199999999999999</v>
      </c>
      <c r="CN83" s="1066">
        <f t="shared" si="83"/>
        <v>7.199999999999999</v>
      </c>
      <c r="CO83" s="1066">
        <f t="shared" si="83"/>
        <v>7.199999999999999</v>
      </c>
      <c r="CP83" s="1066">
        <f t="shared" si="83"/>
        <v>7.199999999999999</v>
      </c>
      <c r="CQ83" s="1066">
        <f t="shared" si="83"/>
        <v>7.199999999999999</v>
      </c>
      <c r="CR83" s="1066">
        <f t="shared" si="83"/>
        <v>7.199999999999999</v>
      </c>
      <c r="CS83" s="1066">
        <f t="shared" si="83"/>
        <v>7.199999999999999</v>
      </c>
      <c r="CT83" s="1066">
        <f t="shared" si="83"/>
        <v>7.199999999999999</v>
      </c>
      <c r="CU83" s="1066">
        <f t="shared" si="83"/>
        <v>7.199999999999999</v>
      </c>
      <c r="CV83" s="1066">
        <f t="shared" si="83"/>
        <v>7.199999999999999</v>
      </c>
      <c r="CW83" s="1066">
        <f t="shared" si="83"/>
        <v>7.199999999999999</v>
      </c>
      <c r="CY83" s="1066">
        <f aca="true" t="shared" si="84" ref="CY83:DS83">$CZ$79</f>
        <v>9.6</v>
      </c>
      <c r="CZ83" s="1066">
        <f t="shared" si="84"/>
        <v>9.6</v>
      </c>
      <c r="DA83" s="1066">
        <f t="shared" si="84"/>
        <v>9.6</v>
      </c>
      <c r="DB83" s="1066">
        <f t="shared" si="84"/>
        <v>9.6</v>
      </c>
      <c r="DC83" s="1066">
        <f t="shared" si="84"/>
        <v>9.6</v>
      </c>
      <c r="DD83" s="1066">
        <f t="shared" si="84"/>
        <v>9.6</v>
      </c>
      <c r="DE83" s="1066">
        <f t="shared" si="84"/>
        <v>9.6</v>
      </c>
      <c r="DF83" s="1066">
        <f t="shared" si="84"/>
        <v>9.6</v>
      </c>
      <c r="DG83" s="1066">
        <f t="shared" si="84"/>
        <v>9.6</v>
      </c>
      <c r="DH83" s="1066">
        <f t="shared" si="84"/>
        <v>9.6</v>
      </c>
      <c r="DI83" s="1066">
        <f t="shared" si="84"/>
        <v>9.6</v>
      </c>
      <c r="DJ83" s="1066">
        <f t="shared" si="84"/>
        <v>9.6</v>
      </c>
      <c r="DK83" s="1066">
        <f t="shared" si="84"/>
        <v>9.6</v>
      </c>
      <c r="DL83" s="1066">
        <f t="shared" si="84"/>
        <v>9.6</v>
      </c>
      <c r="DM83" s="1066">
        <f t="shared" si="84"/>
        <v>9.6</v>
      </c>
      <c r="DN83" s="1066">
        <f t="shared" si="84"/>
        <v>9.6</v>
      </c>
      <c r="DO83" s="1066">
        <f t="shared" si="84"/>
        <v>9.6</v>
      </c>
      <c r="DP83" s="1066">
        <f t="shared" si="84"/>
        <v>9.6</v>
      </c>
      <c r="DQ83" s="1066">
        <f t="shared" si="84"/>
        <v>9.6</v>
      </c>
      <c r="DR83" s="1066">
        <f t="shared" si="84"/>
        <v>9.6</v>
      </c>
      <c r="DS83" s="1066">
        <f t="shared" si="84"/>
        <v>9.6</v>
      </c>
      <c r="DU83" s="1066">
        <f aca="true" t="shared" si="85" ref="DU83:EO83">$DV$79</f>
        <v>12</v>
      </c>
      <c r="DV83" s="1066">
        <f t="shared" si="85"/>
        <v>12</v>
      </c>
      <c r="DW83" s="1066">
        <f t="shared" si="85"/>
        <v>12</v>
      </c>
      <c r="DX83" s="1066">
        <f t="shared" si="85"/>
        <v>12</v>
      </c>
      <c r="DY83" s="1066">
        <f t="shared" si="85"/>
        <v>12</v>
      </c>
      <c r="DZ83" s="1066">
        <f t="shared" si="85"/>
        <v>12</v>
      </c>
      <c r="EA83" s="1066">
        <f t="shared" si="85"/>
        <v>12</v>
      </c>
      <c r="EB83" s="1066">
        <f t="shared" si="85"/>
        <v>12</v>
      </c>
      <c r="EC83" s="1066">
        <f t="shared" si="85"/>
        <v>12</v>
      </c>
      <c r="ED83" s="1066">
        <f t="shared" si="85"/>
        <v>12</v>
      </c>
      <c r="EE83" s="1066">
        <f t="shared" si="85"/>
        <v>12</v>
      </c>
      <c r="EF83" s="1066">
        <f t="shared" si="85"/>
        <v>12</v>
      </c>
      <c r="EG83" s="1066">
        <f t="shared" si="85"/>
        <v>12</v>
      </c>
      <c r="EH83" s="1066">
        <f t="shared" si="85"/>
        <v>12</v>
      </c>
      <c r="EI83" s="1066">
        <f t="shared" si="85"/>
        <v>12</v>
      </c>
      <c r="EJ83" s="1066">
        <f t="shared" si="85"/>
        <v>12</v>
      </c>
      <c r="EK83" s="1066">
        <f t="shared" si="85"/>
        <v>12</v>
      </c>
      <c r="EL83" s="1066">
        <f t="shared" si="85"/>
        <v>12</v>
      </c>
      <c r="EM83" s="1066">
        <f t="shared" si="85"/>
        <v>12</v>
      </c>
      <c r="EN83" s="1066">
        <f t="shared" si="85"/>
        <v>12</v>
      </c>
      <c r="EO83" s="1066">
        <f t="shared" si="85"/>
        <v>12</v>
      </c>
    </row>
    <row r="84" spans="1:145" ht="12.75">
      <c r="A84" s="342"/>
      <c r="B84" s="342"/>
      <c r="C84" s="342"/>
      <c r="D84" s="342"/>
      <c r="E84" s="342"/>
      <c r="F84" s="342"/>
      <c r="G84" s="342"/>
      <c r="H84" s="342"/>
      <c r="I84" s="342"/>
      <c r="J84" s="342"/>
      <c r="K84" s="342"/>
      <c r="L84" s="342"/>
      <c r="M84" s="342"/>
      <c r="N84" s="342"/>
      <c r="O84" s="342"/>
      <c r="P84" s="342"/>
      <c r="Q84" s="342"/>
      <c r="AB84" s="1021" t="s">
        <v>123</v>
      </c>
      <c r="AD84" s="1068">
        <v>1</v>
      </c>
      <c r="AJ84" s="1021" t="s">
        <v>192</v>
      </c>
      <c r="AK84" s="1066">
        <f>0.000000001</f>
        <v>1E-09</v>
      </c>
      <c r="AL84" s="766">
        <f aca="true" t="shared" si="86" ref="AL84:BE84">AK84+dx_center</f>
        <v>40.000000001</v>
      </c>
      <c r="AM84" s="766">
        <f t="shared" si="86"/>
        <v>80.00000000099999</v>
      </c>
      <c r="AN84" s="766">
        <f t="shared" si="86"/>
        <v>120.00000000099999</v>
      </c>
      <c r="AO84" s="766">
        <f t="shared" si="86"/>
        <v>160.000000001</v>
      </c>
      <c r="AP84" s="766">
        <f t="shared" si="86"/>
        <v>200.000000001</v>
      </c>
      <c r="AQ84" s="766">
        <f t="shared" si="86"/>
        <v>240.000000001</v>
      </c>
      <c r="AR84" s="766">
        <f t="shared" si="86"/>
        <v>280.000000001</v>
      </c>
      <c r="AS84" s="766">
        <f t="shared" si="86"/>
        <v>320.000000001</v>
      </c>
      <c r="AT84" s="766">
        <f t="shared" si="86"/>
        <v>360.000000001</v>
      </c>
      <c r="AU84" s="766">
        <f t="shared" si="86"/>
        <v>400.000000001</v>
      </c>
      <c r="AV84" s="766">
        <f t="shared" si="86"/>
        <v>440.000000001</v>
      </c>
      <c r="AW84" s="766">
        <f t="shared" si="86"/>
        <v>480.000000001</v>
      </c>
      <c r="AX84" s="766">
        <f t="shared" si="86"/>
        <v>520.000000001</v>
      </c>
      <c r="AY84" s="766">
        <f t="shared" si="86"/>
        <v>560.000000001</v>
      </c>
      <c r="AZ84" s="766">
        <f t="shared" si="86"/>
        <v>600.000000001</v>
      </c>
      <c r="BA84" s="766">
        <f t="shared" si="86"/>
        <v>640.000000001</v>
      </c>
      <c r="BB84" s="766">
        <f t="shared" si="86"/>
        <v>680.000000001</v>
      </c>
      <c r="BC84" s="766">
        <f t="shared" si="86"/>
        <v>720.000000001</v>
      </c>
      <c r="BD84" s="766">
        <f t="shared" si="86"/>
        <v>760.000000001</v>
      </c>
      <c r="BE84" s="1067">
        <f t="shared" si="86"/>
        <v>800.000000001</v>
      </c>
      <c r="BF84" s="766"/>
      <c r="BG84" s="1066">
        <f>0.000000001</f>
        <v>1E-09</v>
      </c>
      <c r="BH84" s="766">
        <f aca="true" t="shared" si="87" ref="BH84:CA84">BG84+dx_center</f>
        <v>40.000000001</v>
      </c>
      <c r="BI84" s="766">
        <f t="shared" si="87"/>
        <v>80.00000000099999</v>
      </c>
      <c r="BJ84" s="766">
        <f t="shared" si="87"/>
        <v>120.00000000099999</v>
      </c>
      <c r="BK84" s="766">
        <f t="shared" si="87"/>
        <v>160.000000001</v>
      </c>
      <c r="BL84" s="766">
        <f t="shared" si="87"/>
        <v>200.000000001</v>
      </c>
      <c r="BM84" s="766">
        <f t="shared" si="87"/>
        <v>240.000000001</v>
      </c>
      <c r="BN84" s="766">
        <f t="shared" si="87"/>
        <v>280.000000001</v>
      </c>
      <c r="BO84" s="766">
        <f t="shared" si="87"/>
        <v>320.000000001</v>
      </c>
      <c r="BP84" s="766">
        <f t="shared" si="87"/>
        <v>360.000000001</v>
      </c>
      <c r="BQ84" s="766">
        <f t="shared" si="87"/>
        <v>400.000000001</v>
      </c>
      <c r="BR84" s="766">
        <f t="shared" si="87"/>
        <v>440.000000001</v>
      </c>
      <c r="BS84" s="766">
        <f t="shared" si="87"/>
        <v>480.000000001</v>
      </c>
      <c r="BT84" s="766">
        <f t="shared" si="87"/>
        <v>520.000000001</v>
      </c>
      <c r="BU84" s="766">
        <f t="shared" si="87"/>
        <v>560.000000001</v>
      </c>
      <c r="BV84" s="766">
        <f t="shared" si="87"/>
        <v>600.000000001</v>
      </c>
      <c r="BW84" s="766">
        <f t="shared" si="87"/>
        <v>640.000000001</v>
      </c>
      <c r="BX84" s="766">
        <f t="shared" si="87"/>
        <v>680.000000001</v>
      </c>
      <c r="BY84" s="766">
        <f t="shared" si="87"/>
        <v>720.000000001</v>
      </c>
      <c r="BZ84" s="766">
        <f t="shared" si="87"/>
        <v>760.000000001</v>
      </c>
      <c r="CA84" s="1067">
        <f t="shared" si="87"/>
        <v>800.000000001</v>
      </c>
      <c r="CB84" s="766"/>
      <c r="CC84" s="1066">
        <f>0.000000001</f>
        <v>1E-09</v>
      </c>
      <c r="CD84" s="766">
        <f aca="true" t="shared" si="88" ref="CD84:CW84">CC84+dx_center</f>
        <v>40.000000001</v>
      </c>
      <c r="CE84" s="766">
        <f t="shared" si="88"/>
        <v>80.00000000099999</v>
      </c>
      <c r="CF84" s="766">
        <f t="shared" si="88"/>
        <v>120.00000000099999</v>
      </c>
      <c r="CG84" s="766">
        <f t="shared" si="88"/>
        <v>160.000000001</v>
      </c>
      <c r="CH84" s="766">
        <f t="shared" si="88"/>
        <v>200.000000001</v>
      </c>
      <c r="CI84" s="766">
        <f t="shared" si="88"/>
        <v>240.000000001</v>
      </c>
      <c r="CJ84" s="766">
        <f t="shared" si="88"/>
        <v>280.000000001</v>
      </c>
      <c r="CK84" s="766">
        <f t="shared" si="88"/>
        <v>320.000000001</v>
      </c>
      <c r="CL84" s="766">
        <f t="shared" si="88"/>
        <v>360.000000001</v>
      </c>
      <c r="CM84" s="766">
        <f t="shared" si="88"/>
        <v>400.000000001</v>
      </c>
      <c r="CN84" s="766">
        <f t="shared" si="88"/>
        <v>440.000000001</v>
      </c>
      <c r="CO84" s="766">
        <f t="shared" si="88"/>
        <v>480.000000001</v>
      </c>
      <c r="CP84" s="766">
        <f t="shared" si="88"/>
        <v>520.000000001</v>
      </c>
      <c r="CQ84" s="766">
        <f t="shared" si="88"/>
        <v>560.000000001</v>
      </c>
      <c r="CR84" s="766">
        <f t="shared" si="88"/>
        <v>600.000000001</v>
      </c>
      <c r="CS84" s="766">
        <f t="shared" si="88"/>
        <v>640.000000001</v>
      </c>
      <c r="CT84" s="766">
        <f t="shared" si="88"/>
        <v>680.000000001</v>
      </c>
      <c r="CU84" s="766">
        <f t="shared" si="88"/>
        <v>720.000000001</v>
      </c>
      <c r="CV84" s="766">
        <f t="shared" si="88"/>
        <v>760.000000001</v>
      </c>
      <c r="CW84" s="1067">
        <f t="shared" si="88"/>
        <v>800.000000001</v>
      </c>
      <c r="CX84" s="766"/>
      <c r="CY84" s="1066">
        <f>0.000000001</f>
        <v>1E-09</v>
      </c>
      <c r="CZ84" s="766">
        <f aca="true" t="shared" si="89" ref="CZ84:DS84">CY84+dx_center</f>
        <v>40.000000001</v>
      </c>
      <c r="DA84" s="766">
        <f t="shared" si="89"/>
        <v>80.00000000099999</v>
      </c>
      <c r="DB84" s="766">
        <f t="shared" si="89"/>
        <v>120.00000000099999</v>
      </c>
      <c r="DC84" s="766">
        <f t="shared" si="89"/>
        <v>160.000000001</v>
      </c>
      <c r="DD84" s="766">
        <f t="shared" si="89"/>
        <v>200.000000001</v>
      </c>
      <c r="DE84" s="766">
        <f t="shared" si="89"/>
        <v>240.000000001</v>
      </c>
      <c r="DF84" s="766">
        <f t="shared" si="89"/>
        <v>280.000000001</v>
      </c>
      <c r="DG84" s="766">
        <f t="shared" si="89"/>
        <v>320.000000001</v>
      </c>
      <c r="DH84" s="766">
        <f t="shared" si="89"/>
        <v>360.000000001</v>
      </c>
      <c r="DI84" s="766">
        <f t="shared" si="89"/>
        <v>400.000000001</v>
      </c>
      <c r="DJ84" s="766">
        <f t="shared" si="89"/>
        <v>440.000000001</v>
      </c>
      <c r="DK84" s="766">
        <f t="shared" si="89"/>
        <v>480.000000001</v>
      </c>
      <c r="DL84" s="766">
        <f t="shared" si="89"/>
        <v>520.000000001</v>
      </c>
      <c r="DM84" s="766">
        <f t="shared" si="89"/>
        <v>560.000000001</v>
      </c>
      <c r="DN84" s="766">
        <f t="shared" si="89"/>
        <v>600.000000001</v>
      </c>
      <c r="DO84" s="766">
        <f t="shared" si="89"/>
        <v>640.000000001</v>
      </c>
      <c r="DP84" s="766">
        <f t="shared" si="89"/>
        <v>680.000000001</v>
      </c>
      <c r="DQ84" s="766">
        <f t="shared" si="89"/>
        <v>720.000000001</v>
      </c>
      <c r="DR84" s="766">
        <f t="shared" si="89"/>
        <v>760.000000001</v>
      </c>
      <c r="DS84" s="1067">
        <f t="shared" si="89"/>
        <v>800.000000001</v>
      </c>
      <c r="DT84" s="766"/>
      <c r="DU84" s="1066">
        <f>0.000000001</f>
        <v>1E-09</v>
      </c>
      <c r="DV84" s="766">
        <f aca="true" t="shared" si="90" ref="DV84:EO84">DU84+dx_center</f>
        <v>40.000000001</v>
      </c>
      <c r="DW84" s="766">
        <f t="shared" si="90"/>
        <v>80.00000000099999</v>
      </c>
      <c r="DX84" s="766">
        <f t="shared" si="90"/>
        <v>120.00000000099999</v>
      </c>
      <c r="DY84" s="766">
        <f t="shared" si="90"/>
        <v>160.000000001</v>
      </c>
      <c r="DZ84" s="766">
        <f t="shared" si="90"/>
        <v>200.000000001</v>
      </c>
      <c r="EA84" s="766">
        <f t="shared" si="90"/>
        <v>240.000000001</v>
      </c>
      <c r="EB84" s="766">
        <f t="shared" si="90"/>
        <v>280.000000001</v>
      </c>
      <c r="EC84" s="766">
        <f t="shared" si="90"/>
        <v>320.000000001</v>
      </c>
      <c r="ED84" s="766">
        <f t="shared" si="90"/>
        <v>360.000000001</v>
      </c>
      <c r="EE84" s="766">
        <f t="shared" si="90"/>
        <v>400.000000001</v>
      </c>
      <c r="EF84" s="766">
        <f t="shared" si="90"/>
        <v>440.000000001</v>
      </c>
      <c r="EG84" s="766">
        <f t="shared" si="90"/>
        <v>480.000000001</v>
      </c>
      <c r="EH84" s="766">
        <f t="shared" si="90"/>
        <v>520.000000001</v>
      </c>
      <c r="EI84" s="766">
        <f t="shared" si="90"/>
        <v>560.000000001</v>
      </c>
      <c r="EJ84" s="766">
        <f t="shared" si="90"/>
        <v>600.000000001</v>
      </c>
      <c r="EK84" s="766">
        <f t="shared" si="90"/>
        <v>640.000000001</v>
      </c>
      <c r="EL84" s="766">
        <f t="shared" si="90"/>
        <v>680.000000001</v>
      </c>
      <c r="EM84" s="766">
        <f t="shared" si="90"/>
        <v>720.000000001</v>
      </c>
      <c r="EN84" s="766">
        <f t="shared" si="90"/>
        <v>760.000000001</v>
      </c>
      <c r="EO84" s="1067">
        <f t="shared" si="90"/>
        <v>800.000000001</v>
      </c>
    </row>
    <row r="85" spans="1:145" ht="12.75">
      <c r="A85" s="342"/>
      <c r="B85" s="342"/>
      <c r="C85" s="342"/>
      <c r="D85" s="342"/>
      <c r="E85" s="342"/>
      <c r="F85" s="342"/>
      <c r="G85" s="342"/>
      <c r="H85" s="342"/>
      <c r="I85" s="342"/>
      <c r="J85" s="342"/>
      <c r="K85" s="342"/>
      <c r="L85" s="342"/>
      <c r="M85" s="342"/>
      <c r="N85" s="342"/>
      <c r="O85" s="342"/>
      <c r="P85" s="342"/>
      <c r="Q85" s="342"/>
      <c r="AB85" s="1021" t="s">
        <v>124</v>
      </c>
      <c r="AD85" s="1069">
        <f>(AD82-Vc*t_SWLoad*erfcconst1_1)/erfcconst2_2</f>
        <v>-3.220596084513516</v>
      </c>
      <c r="AJ85" s="1021" t="s">
        <v>200</v>
      </c>
      <c r="AK85" s="1066">
        <v>0</v>
      </c>
      <c r="AL85" s="766">
        <v>0</v>
      </c>
      <c r="AM85" s="766">
        <v>0</v>
      </c>
      <c r="AN85" s="766">
        <v>0</v>
      </c>
      <c r="AO85" s="766">
        <v>0</v>
      </c>
      <c r="AP85" s="766">
        <v>0</v>
      </c>
      <c r="AQ85" s="766">
        <v>0</v>
      </c>
      <c r="AR85" s="766">
        <v>0</v>
      </c>
      <c r="AS85" s="766">
        <v>0</v>
      </c>
      <c r="AT85" s="766">
        <v>0</v>
      </c>
      <c r="AU85" s="766">
        <v>0</v>
      </c>
      <c r="AV85" s="766">
        <v>0</v>
      </c>
      <c r="AW85" s="766">
        <v>0</v>
      </c>
      <c r="AX85" s="766">
        <v>0</v>
      </c>
      <c r="AY85" s="766">
        <v>0</v>
      </c>
      <c r="AZ85" s="766">
        <v>0</v>
      </c>
      <c r="BA85" s="766">
        <v>0</v>
      </c>
      <c r="BB85" s="766">
        <v>0</v>
      </c>
      <c r="BC85" s="766">
        <v>0</v>
      </c>
      <c r="BD85" s="766">
        <v>0</v>
      </c>
      <c r="BE85" s="1067">
        <v>0</v>
      </c>
      <c r="BF85" s="766"/>
      <c r="BG85" s="1066">
        <v>0</v>
      </c>
      <c r="BH85" s="766">
        <v>0</v>
      </c>
      <c r="BI85" s="766">
        <v>0</v>
      </c>
      <c r="BJ85" s="766">
        <v>0</v>
      </c>
      <c r="BK85" s="766">
        <v>0</v>
      </c>
      <c r="BL85" s="766">
        <v>0</v>
      </c>
      <c r="BM85" s="766">
        <v>0</v>
      </c>
      <c r="BN85" s="766">
        <v>0</v>
      </c>
      <c r="BO85" s="766">
        <v>0</v>
      </c>
      <c r="BP85" s="766">
        <v>0</v>
      </c>
      <c r="BQ85" s="766">
        <v>0</v>
      </c>
      <c r="BR85" s="766">
        <v>0</v>
      </c>
      <c r="BS85" s="766">
        <v>0</v>
      </c>
      <c r="BT85" s="766">
        <v>0</v>
      </c>
      <c r="BU85" s="766">
        <v>0</v>
      </c>
      <c r="BV85" s="766">
        <v>0</v>
      </c>
      <c r="BW85" s="766">
        <v>0</v>
      </c>
      <c r="BX85" s="766">
        <v>0</v>
      </c>
      <c r="BY85" s="766">
        <v>0</v>
      </c>
      <c r="BZ85" s="766">
        <v>0</v>
      </c>
      <c r="CA85" s="1067">
        <v>0</v>
      </c>
      <c r="CB85" s="766"/>
      <c r="CC85" s="1066">
        <v>0</v>
      </c>
      <c r="CD85" s="766">
        <v>0</v>
      </c>
      <c r="CE85" s="766">
        <v>0</v>
      </c>
      <c r="CF85" s="766">
        <v>0</v>
      </c>
      <c r="CG85" s="766">
        <v>0</v>
      </c>
      <c r="CH85" s="766">
        <v>0</v>
      </c>
      <c r="CI85" s="766">
        <v>0</v>
      </c>
      <c r="CJ85" s="766">
        <v>0</v>
      </c>
      <c r="CK85" s="766">
        <v>0</v>
      </c>
      <c r="CL85" s="766">
        <v>0</v>
      </c>
      <c r="CM85" s="766">
        <v>0</v>
      </c>
      <c r="CN85" s="766">
        <v>0</v>
      </c>
      <c r="CO85" s="766">
        <v>0</v>
      </c>
      <c r="CP85" s="766">
        <v>0</v>
      </c>
      <c r="CQ85" s="766">
        <v>0</v>
      </c>
      <c r="CR85" s="766">
        <v>0</v>
      </c>
      <c r="CS85" s="766">
        <v>0</v>
      </c>
      <c r="CT85" s="766">
        <v>0</v>
      </c>
      <c r="CU85" s="766">
        <v>0</v>
      </c>
      <c r="CV85" s="766">
        <v>0</v>
      </c>
      <c r="CW85" s="1067">
        <v>0</v>
      </c>
      <c r="CX85" s="766"/>
      <c r="CY85" s="1066">
        <v>0</v>
      </c>
      <c r="CZ85" s="766">
        <v>0</v>
      </c>
      <c r="DA85" s="766">
        <v>0</v>
      </c>
      <c r="DB85" s="766">
        <v>0</v>
      </c>
      <c r="DC85" s="766">
        <v>0</v>
      </c>
      <c r="DD85" s="766">
        <v>0</v>
      </c>
      <c r="DE85" s="766">
        <v>0</v>
      </c>
      <c r="DF85" s="766">
        <v>0</v>
      </c>
      <c r="DG85" s="766">
        <v>0</v>
      </c>
      <c r="DH85" s="766">
        <v>0</v>
      </c>
      <c r="DI85" s="766">
        <v>0</v>
      </c>
      <c r="DJ85" s="766">
        <v>0</v>
      </c>
      <c r="DK85" s="766">
        <v>0</v>
      </c>
      <c r="DL85" s="766">
        <v>0</v>
      </c>
      <c r="DM85" s="766">
        <v>0</v>
      </c>
      <c r="DN85" s="766">
        <v>0</v>
      </c>
      <c r="DO85" s="766">
        <v>0</v>
      </c>
      <c r="DP85" s="766">
        <v>0</v>
      </c>
      <c r="DQ85" s="766">
        <v>0</v>
      </c>
      <c r="DR85" s="766">
        <v>0</v>
      </c>
      <c r="DS85" s="1067">
        <v>0</v>
      </c>
      <c r="DT85" s="766"/>
      <c r="DU85" s="1066">
        <v>0</v>
      </c>
      <c r="DV85" s="766">
        <v>0</v>
      </c>
      <c r="DW85" s="766">
        <v>0</v>
      </c>
      <c r="DX85" s="766">
        <v>0</v>
      </c>
      <c r="DY85" s="766">
        <v>0</v>
      </c>
      <c r="DZ85" s="766">
        <v>0</v>
      </c>
      <c r="EA85" s="766">
        <v>0</v>
      </c>
      <c r="EB85" s="766">
        <v>0</v>
      </c>
      <c r="EC85" s="766">
        <v>0</v>
      </c>
      <c r="ED85" s="766">
        <v>0</v>
      </c>
      <c r="EE85" s="766">
        <v>0</v>
      </c>
      <c r="EF85" s="766">
        <v>0</v>
      </c>
      <c r="EG85" s="766">
        <v>0</v>
      </c>
      <c r="EH85" s="766">
        <v>0</v>
      </c>
      <c r="EI85" s="766">
        <v>0</v>
      </c>
      <c r="EJ85" s="766">
        <v>0</v>
      </c>
      <c r="EK85" s="766">
        <v>0</v>
      </c>
      <c r="EL85" s="766">
        <v>0</v>
      </c>
      <c r="EM85" s="766">
        <v>0</v>
      </c>
      <c r="EN85" s="766">
        <v>0</v>
      </c>
      <c r="EO85" s="1067">
        <v>0</v>
      </c>
    </row>
    <row r="86" spans="1:145" ht="12.75">
      <c r="A86" s="342"/>
      <c r="B86" s="342"/>
      <c r="C86" s="342"/>
      <c r="D86" s="342"/>
      <c r="E86" s="342"/>
      <c r="F86" s="342"/>
      <c r="G86" s="342"/>
      <c r="H86" s="342"/>
      <c r="I86" s="342"/>
      <c r="J86" s="342"/>
      <c r="K86" s="342"/>
      <c r="L86" s="342"/>
      <c r="M86" s="342"/>
      <c r="N86" s="342"/>
      <c r="O86" s="342"/>
      <c r="P86" s="342"/>
      <c r="Q86" s="342"/>
      <c r="AB86" s="1021" t="s">
        <v>125</v>
      </c>
      <c r="AD86" s="1068">
        <f>gerfC(AD85)</f>
        <v>1.9999947517307124</v>
      </c>
      <c r="AJ86" s="1021" t="s">
        <v>123</v>
      </c>
      <c r="AK86" s="1066">
        <v>1</v>
      </c>
      <c r="AL86" s="766">
        <v>1</v>
      </c>
      <c r="AM86" s="766">
        <v>1</v>
      </c>
      <c r="AN86" s="766">
        <v>1</v>
      </c>
      <c r="AO86" s="766">
        <v>1</v>
      </c>
      <c r="AP86" s="766">
        <v>1</v>
      </c>
      <c r="AQ86" s="766">
        <v>1</v>
      </c>
      <c r="AR86" s="766">
        <v>1</v>
      </c>
      <c r="AS86" s="766">
        <v>1</v>
      </c>
      <c r="AT86" s="766">
        <v>1</v>
      </c>
      <c r="AU86" s="766">
        <v>1</v>
      </c>
      <c r="AV86" s="766">
        <v>1</v>
      </c>
      <c r="AW86" s="766">
        <v>1</v>
      </c>
      <c r="AX86" s="766">
        <v>1</v>
      </c>
      <c r="AY86" s="766">
        <v>1</v>
      </c>
      <c r="AZ86" s="766">
        <v>1</v>
      </c>
      <c r="BA86" s="766">
        <v>1</v>
      </c>
      <c r="BB86" s="766">
        <v>1</v>
      </c>
      <c r="BC86" s="766">
        <v>1</v>
      </c>
      <c r="BD86" s="766">
        <v>1</v>
      </c>
      <c r="BE86" s="1067">
        <v>1</v>
      </c>
      <c r="BG86" s="1066">
        <v>1</v>
      </c>
      <c r="BH86" s="766">
        <v>1</v>
      </c>
      <c r="BI86" s="766">
        <v>1</v>
      </c>
      <c r="BJ86" s="766">
        <v>1</v>
      </c>
      <c r="BK86" s="766">
        <v>1</v>
      </c>
      <c r="BL86" s="766">
        <v>1</v>
      </c>
      <c r="BM86" s="766">
        <v>1</v>
      </c>
      <c r="BN86" s="766">
        <v>1</v>
      </c>
      <c r="BO86" s="766">
        <v>1</v>
      </c>
      <c r="BP86" s="766">
        <v>1</v>
      </c>
      <c r="BQ86" s="766">
        <v>1</v>
      </c>
      <c r="BR86" s="766">
        <v>1</v>
      </c>
      <c r="BS86" s="766">
        <v>1</v>
      </c>
      <c r="BT86" s="766">
        <v>1</v>
      </c>
      <c r="BU86" s="766">
        <v>1</v>
      </c>
      <c r="BV86" s="766">
        <v>1</v>
      </c>
      <c r="BW86" s="766">
        <v>1</v>
      </c>
      <c r="BX86" s="766">
        <v>1</v>
      </c>
      <c r="BY86" s="766">
        <v>1</v>
      </c>
      <c r="BZ86" s="766">
        <v>1</v>
      </c>
      <c r="CA86" s="1067">
        <v>1</v>
      </c>
      <c r="CC86" s="1066">
        <v>1</v>
      </c>
      <c r="CD86" s="766">
        <v>1</v>
      </c>
      <c r="CE86" s="766">
        <v>1</v>
      </c>
      <c r="CF86" s="766">
        <v>1</v>
      </c>
      <c r="CG86" s="766">
        <v>1</v>
      </c>
      <c r="CH86" s="766">
        <v>1</v>
      </c>
      <c r="CI86" s="766">
        <v>1</v>
      </c>
      <c r="CJ86" s="766">
        <v>1</v>
      </c>
      <c r="CK86" s="766">
        <v>1</v>
      </c>
      <c r="CL86" s="766">
        <v>1</v>
      </c>
      <c r="CM86" s="766">
        <v>1</v>
      </c>
      <c r="CN86" s="766">
        <v>1</v>
      </c>
      <c r="CO86" s="766">
        <v>1</v>
      </c>
      <c r="CP86" s="766">
        <v>1</v>
      </c>
      <c r="CQ86" s="766">
        <v>1</v>
      </c>
      <c r="CR86" s="766">
        <v>1</v>
      </c>
      <c r="CS86" s="766">
        <v>1</v>
      </c>
      <c r="CT86" s="766">
        <v>1</v>
      </c>
      <c r="CU86" s="766">
        <v>1</v>
      </c>
      <c r="CV86" s="766">
        <v>1</v>
      </c>
      <c r="CW86" s="1067">
        <v>1</v>
      </c>
      <c r="CY86" s="1066">
        <v>1</v>
      </c>
      <c r="CZ86" s="766">
        <v>1</v>
      </c>
      <c r="DA86" s="766">
        <v>1</v>
      </c>
      <c r="DB86" s="766">
        <v>1</v>
      </c>
      <c r="DC86" s="766">
        <v>1</v>
      </c>
      <c r="DD86" s="766">
        <v>1</v>
      </c>
      <c r="DE86" s="766">
        <v>1</v>
      </c>
      <c r="DF86" s="766">
        <v>1</v>
      </c>
      <c r="DG86" s="766">
        <v>1</v>
      </c>
      <c r="DH86" s="766">
        <v>1</v>
      </c>
      <c r="DI86" s="766">
        <v>1</v>
      </c>
      <c r="DJ86" s="766">
        <v>1</v>
      </c>
      <c r="DK86" s="766">
        <v>1</v>
      </c>
      <c r="DL86" s="766">
        <v>1</v>
      </c>
      <c r="DM86" s="766">
        <v>1</v>
      </c>
      <c r="DN86" s="766">
        <v>1</v>
      </c>
      <c r="DO86" s="766">
        <v>1</v>
      </c>
      <c r="DP86" s="766">
        <v>1</v>
      </c>
      <c r="DQ86" s="766">
        <v>1</v>
      </c>
      <c r="DR86" s="766">
        <v>1</v>
      </c>
      <c r="DS86" s="1067">
        <v>1</v>
      </c>
      <c r="DU86" s="1066">
        <v>1</v>
      </c>
      <c r="DV86" s="766">
        <v>1</v>
      </c>
      <c r="DW86" s="766">
        <v>1</v>
      </c>
      <c r="DX86" s="766">
        <v>1</v>
      </c>
      <c r="DY86" s="766">
        <v>1</v>
      </c>
      <c r="DZ86" s="766">
        <v>1</v>
      </c>
      <c r="EA86" s="766">
        <v>1</v>
      </c>
      <c r="EB86" s="766">
        <v>1</v>
      </c>
      <c r="EC86" s="766">
        <v>1</v>
      </c>
      <c r="ED86" s="766">
        <v>1</v>
      </c>
      <c r="EE86" s="766">
        <v>1</v>
      </c>
      <c r="EF86" s="766">
        <v>1</v>
      </c>
      <c r="EG86" s="766">
        <v>1</v>
      </c>
      <c r="EH86" s="766">
        <v>1</v>
      </c>
      <c r="EI86" s="766">
        <v>1</v>
      </c>
      <c r="EJ86" s="766">
        <v>1</v>
      </c>
      <c r="EK86" s="766">
        <v>1</v>
      </c>
      <c r="EL86" s="766">
        <v>1</v>
      </c>
      <c r="EM86" s="766">
        <v>1</v>
      </c>
      <c r="EN86" s="766">
        <v>1</v>
      </c>
      <c r="EO86" s="1067">
        <v>1</v>
      </c>
    </row>
    <row r="87" spans="1:145" ht="12.75">
      <c r="A87" s="342"/>
      <c r="B87" s="342"/>
      <c r="C87" s="342"/>
      <c r="D87" s="342"/>
      <c r="E87" s="342"/>
      <c r="F87" s="342"/>
      <c r="G87" s="342"/>
      <c r="H87" s="342"/>
      <c r="I87" s="342"/>
      <c r="J87" s="342"/>
      <c r="K87" s="342"/>
      <c r="L87" s="342"/>
      <c r="M87" s="342"/>
      <c r="N87" s="342"/>
      <c r="O87" s="342"/>
      <c r="P87" s="342"/>
      <c r="Q87" s="342"/>
      <c r="AB87" s="1021" t="s">
        <v>126</v>
      </c>
      <c r="AD87" s="1069">
        <f>[0]!Z/2/(alpha.z*AD82)^0.5</f>
        <v>1.2909944487358057E+49</v>
      </c>
      <c r="AJ87" s="1021" t="s">
        <v>124</v>
      </c>
      <c r="AK87" s="1070">
        <f aca="true" t="shared" si="91" ref="AK87:BE87">(AK$84-Vc*AK83*AK80)/AK81</f>
        <v>-1.5719323014366164</v>
      </c>
      <c r="AL87" s="1033">
        <f t="shared" si="91"/>
        <v>-1.0991091886982323</v>
      </c>
      <c r="AM87" s="1033">
        <f t="shared" si="91"/>
        <v>-0.6262860759598481</v>
      </c>
      <c r="AN87" s="1033">
        <f t="shared" si="91"/>
        <v>-0.15346296322146394</v>
      </c>
      <c r="AO87" s="1033">
        <f t="shared" si="91"/>
        <v>0.3193601495169202</v>
      </c>
      <c r="AP87" s="1033">
        <f t="shared" si="91"/>
        <v>0.7921832622553043</v>
      </c>
      <c r="AQ87" s="1033">
        <f t="shared" si="91"/>
        <v>1.2650063749936886</v>
      </c>
      <c r="AR87" s="1033">
        <f t="shared" si="91"/>
        <v>1.7378294877320728</v>
      </c>
      <c r="AS87" s="1033">
        <f t="shared" si="91"/>
        <v>2.210652600470457</v>
      </c>
      <c r="AT87" s="1033">
        <f t="shared" si="91"/>
        <v>2.683475713208841</v>
      </c>
      <c r="AU87" s="1033">
        <f t="shared" si="91"/>
        <v>3.156298825947225</v>
      </c>
      <c r="AV87" s="1033">
        <f t="shared" si="91"/>
        <v>3.629121938685609</v>
      </c>
      <c r="AW87" s="1033">
        <f t="shared" si="91"/>
        <v>4.101945051423993</v>
      </c>
      <c r="AX87" s="1033">
        <f t="shared" si="91"/>
        <v>4.574768164162378</v>
      </c>
      <c r="AY87" s="1033">
        <f t="shared" si="91"/>
        <v>5.047591276900762</v>
      </c>
      <c r="AZ87" s="1033">
        <f t="shared" si="91"/>
        <v>5.5204143896391455</v>
      </c>
      <c r="BA87" s="1033">
        <f t="shared" si="91"/>
        <v>5.9932375023775295</v>
      </c>
      <c r="BB87" s="1033">
        <f t="shared" si="91"/>
        <v>6.466060615115914</v>
      </c>
      <c r="BC87" s="1033">
        <f t="shared" si="91"/>
        <v>6.938883727854298</v>
      </c>
      <c r="BD87" s="1033">
        <f t="shared" si="91"/>
        <v>7.411706840592682</v>
      </c>
      <c r="BE87" s="1071">
        <f t="shared" si="91"/>
        <v>7.884529953331066</v>
      </c>
      <c r="BG87" s="1070">
        <f aca="true" t="shared" si="92" ref="BG87:CA87">(BG$84-Vc*BG83*BG80)/BG81</f>
        <v>-2.2230479798323737</v>
      </c>
      <c r="BH87" s="1033">
        <f t="shared" si="92"/>
        <v>-1.888711550513331</v>
      </c>
      <c r="BI87" s="1033">
        <f t="shared" si="92"/>
        <v>-1.554375121194288</v>
      </c>
      <c r="BJ87" s="1033">
        <f t="shared" si="92"/>
        <v>-1.220038691875245</v>
      </c>
      <c r="BK87" s="1033">
        <f t="shared" si="92"/>
        <v>-0.885702262556202</v>
      </c>
      <c r="BL87" s="1033">
        <f t="shared" si="92"/>
        <v>-0.551365833237159</v>
      </c>
      <c r="BM87" s="1033">
        <f t="shared" si="92"/>
        <v>-0.21702940391811615</v>
      </c>
      <c r="BN87" s="1033">
        <f t="shared" si="92"/>
        <v>0.1173070254009268</v>
      </c>
      <c r="BO87" s="1033">
        <f t="shared" si="92"/>
        <v>0.45164345471996975</v>
      </c>
      <c r="BP87" s="1033">
        <f t="shared" si="92"/>
        <v>0.7859798840390126</v>
      </c>
      <c r="BQ87" s="1033">
        <f t="shared" si="92"/>
        <v>1.1203163133580556</v>
      </c>
      <c r="BR87" s="1033">
        <f t="shared" si="92"/>
        <v>1.4546527426770985</v>
      </c>
      <c r="BS87" s="1033">
        <f t="shared" si="92"/>
        <v>1.7889891719961415</v>
      </c>
      <c r="BT87" s="1033">
        <f t="shared" si="92"/>
        <v>2.1233256013151847</v>
      </c>
      <c r="BU87" s="1033">
        <f t="shared" si="92"/>
        <v>2.4576620306342276</v>
      </c>
      <c r="BV87" s="1033">
        <f t="shared" si="92"/>
        <v>2.7919984599532706</v>
      </c>
      <c r="BW87" s="1033">
        <f t="shared" si="92"/>
        <v>3.126334889272313</v>
      </c>
      <c r="BX87" s="1033">
        <f t="shared" si="92"/>
        <v>3.460671318591356</v>
      </c>
      <c r="BY87" s="1033">
        <f t="shared" si="92"/>
        <v>3.795007747910399</v>
      </c>
      <c r="BZ87" s="1033">
        <f t="shared" si="92"/>
        <v>4.129344177229442</v>
      </c>
      <c r="CA87" s="1071">
        <f t="shared" si="92"/>
        <v>4.463680606548484</v>
      </c>
      <c r="CC87" s="1070">
        <f aca="true" t="shared" si="93" ref="CC87:CW87">(CC$84-Vc*CC83*CC80)/CC81</f>
        <v>-2.7226666121605447</v>
      </c>
      <c r="CD87" s="1033">
        <f t="shared" si="93"/>
        <v>-2.449682060741962</v>
      </c>
      <c r="CE87" s="1033">
        <f t="shared" si="93"/>
        <v>-2.176697509323379</v>
      </c>
      <c r="CF87" s="1033">
        <f t="shared" si="93"/>
        <v>-1.903712957904796</v>
      </c>
      <c r="CG87" s="1033">
        <f t="shared" si="93"/>
        <v>-1.630728406486213</v>
      </c>
      <c r="CH87" s="1033">
        <f t="shared" si="93"/>
        <v>-1.3577438550676302</v>
      </c>
      <c r="CI87" s="1033">
        <f t="shared" si="93"/>
        <v>-1.0847593036490473</v>
      </c>
      <c r="CJ87" s="1033">
        <f t="shared" si="93"/>
        <v>-0.8117747522304642</v>
      </c>
      <c r="CK87" s="1033">
        <f t="shared" si="93"/>
        <v>-0.5387902008118813</v>
      </c>
      <c r="CL87" s="1033">
        <f t="shared" si="93"/>
        <v>-0.2658056493932985</v>
      </c>
      <c r="CM87" s="1033">
        <f t="shared" si="93"/>
        <v>0.007178902025284443</v>
      </c>
      <c r="CN87" s="1033">
        <f t="shared" si="93"/>
        <v>0.28016345344386734</v>
      </c>
      <c r="CO87" s="1033">
        <f t="shared" si="93"/>
        <v>0.5531480048624503</v>
      </c>
      <c r="CP87" s="1033">
        <f t="shared" si="93"/>
        <v>0.8261325562810332</v>
      </c>
      <c r="CQ87" s="1033">
        <f t="shared" si="93"/>
        <v>1.099117107699616</v>
      </c>
      <c r="CR87" s="1033">
        <f t="shared" si="93"/>
        <v>1.372101659118199</v>
      </c>
      <c r="CS87" s="1033">
        <f t="shared" si="93"/>
        <v>1.6450862105367818</v>
      </c>
      <c r="CT87" s="1033">
        <f t="shared" si="93"/>
        <v>1.9180707619553647</v>
      </c>
      <c r="CU87" s="1033">
        <f t="shared" si="93"/>
        <v>2.1910553133739477</v>
      </c>
      <c r="CV87" s="1033">
        <f t="shared" si="93"/>
        <v>2.4640398647925306</v>
      </c>
      <c r="CW87" s="1071">
        <f t="shared" si="93"/>
        <v>2.7370244162111135</v>
      </c>
      <c r="CY87" s="1070">
        <f aca="true" t="shared" si="94" ref="CY87:DS87">(CY$84-Vc*CY83*CY80)/CY81</f>
        <v>-3.1438646028909636</v>
      </c>
      <c r="CZ87" s="1033">
        <f t="shared" si="94"/>
        <v>-2.9074530465217716</v>
      </c>
      <c r="DA87" s="1033">
        <f t="shared" si="94"/>
        <v>-2.671041490152579</v>
      </c>
      <c r="DB87" s="1033">
        <f t="shared" si="94"/>
        <v>-2.434629933783387</v>
      </c>
      <c r="DC87" s="1033">
        <f t="shared" si="94"/>
        <v>-2.1982183774141952</v>
      </c>
      <c r="DD87" s="1033">
        <f t="shared" si="94"/>
        <v>-1.961806821045003</v>
      </c>
      <c r="DE87" s="1033">
        <f t="shared" si="94"/>
        <v>-1.725395264675811</v>
      </c>
      <c r="DF87" s="1033">
        <f t="shared" si="94"/>
        <v>-1.4889837083066189</v>
      </c>
      <c r="DG87" s="1033">
        <f t="shared" si="94"/>
        <v>-1.2525721519374269</v>
      </c>
      <c r="DH87" s="1033">
        <f t="shared" si="94"/>
        <v>-1.016160595568235</v>
      </c>
      <c r="DI87" s="1033">
        <f t="shared" si="94"/>
        <v>-0.7797490391990427</v>
      </c>
      <c r="DJ87" s="1033">
        <f t="shared" si="94"/>
        <v>-0.5433374828298506</v>
      </c>
      <c r="DK87" s="1033">
        <f t="shared" si="94"/>
        <v>-0.3069259264606586</v>
      </c>
      <c r="DL87" s="1033">
        <f t="shared" si="94"/>
        <v>-0.07051437009146648</v>
      </c>
      <c r="DM87" s="1033">
        <f t="shared" si="94"/>
        <v>0.1658971862777256</v>
      </c>
      <c r="DN87" s="1033">
        <f t="shared" si="94"/>
        <v>0.4023087426469177</v>
      </c>
      <c r="DO87" s="1033">
        <f t="shared" si="94"/>
        <v>0.6387202990161097</v>
      </c>
      <c r="DP87" s="1033">
        <f t="shared" si="94"/>
        <v>0.8751318553853018</v>
      </c>
      <c r="DQ87" s="1033">
        <f t="shared" si="94"/>
        <v>1.111543411754494</v>
      </c>
      <c r="DR87" s="1033">
        <f t="shared" si="94"/>
        <v>1.347954968123686</v>
      </c>
      <c r="DS87" s="1071">
        <f t="shared" si="94"/>
        <v>1.5843665244928782</v>
      </c>
      <c r="DU87" s="1070">
        <f aca="true" t="shared" si="95" ref="DU87:EO87">(DU$84-Vc*DU83*DU80)/DU81</f>
        <v>-3.5149474820611095</v>
      </c>
      <c r="DV87" s="1033">
        <f t="shared" si="95"/>
        <v>-3.3034945577778947</v>
      </c>
      <c r="DW87" s="1033">
        <f t="shared" si="95"/>
        <v>-3.09204163349468</v>
      </c>
      <c r="DX87" s="1033">
        <f t="shared" si="95"/>
        <v>-2.8805887092114655</v>
      </c>
      <c r="DY87" s="1033">
        <f t="shared" si="95"/>
        <v>-2.6691357849282507</v>
      </c>
      <c r="DZ87" s="1033">
        <f t="shared" si="95"/>
        <v>-2.457682860645036</v>
      </c>
      <c r="EA87" s="1033">
        <f t="shared" si="95"/>
        <v>-2.246229936361821</v>
      </c>
      <c r="EB87" s="1033">
        <f t="shared" si="95"/>
        <v>-2.034777012078606</v>
      </c>
      <c r="EC87" s="1033">
        <f t="shared" si="95"/>
        <v>-1.8233240877953916</v>
      </c>
      <c r="ED87" s="1033">
        <f t="shared" si="95"/>
        <v>-1.6118711635121767</v>
      </c>
      <c r="EE87" s="1033">
        <f t="shared" si="95"/>
        <v>-1.400418239228962</v>
      </c>
      <c r="EF87" s="1033">
        <f t="shared" si="95"/>
        <v>-1.188965314945747</v>
      </c>
      <c r="EG87" s="1033">
        <f t="shared" si="95"/>
        <v>-0.9775123906625324</v>
      </c>
      <c r="EH87" s="1033">
        <f t="shared" si="95"/>
        <v>-0.7660594663793177</v>
      </c>
      <c r="EI87" s="1033">
        <f t="shared" si="95"/>
        <v>-0.5546065420961029</v>
      </c>
      <c r="EJ87" s="1033">
        <f t="shared" si="95"/>
        <v>-0.3431536178128881</v>
      </c>
      <c r="EK87" s="1033">
        <f t="shared" si="95"/>
        <v>-0.13170069352967337</v>
      </c>
      <c r="EL87" s="1033">
        <f t="shared" si="95"/>
        <v>0.07975223075354139</v>
      </c>
      <c r="EM87" s="1033">
        <f t="shared" si="95"/>
        <v>0.29120515503675615</v>
      </c>
      <c r="EN87" s="1033">
        <f t="shared" si="95"/>
        <v>0.5026580793199709</v>
      </c>
      <c r="EO87" s="1071">
        <f t="shared" si="95"/>
        <v>0.7141110036031857</v>
      </c>
    </row>
    <row r="88" spans="1:145" ht="12.75">
      <c r="A88" s="342"/>
      <c r="B88" s="342"/>
      <c r="C88" s="342"/>
      <c r="D88" s="342"/>
      <c r="E88" s="342"/>
      <c r="F88" s="342"/>
      <c r="G88" s="342"/>
      <c r="H88" s="342"/>
      <c r="I88" s="342"/>
      <c r="J88" s="342"/>
      <c r="K88" s="342"/>
      <c r="L88" s="342"/>
      <c r="M88" s="342"/>
      <c r="N88" s="342"/>
      <c r="O88" s="342"/>
      <c r="P88" s="342"/>
      <c r="Q88" s="342"/>
      <c r="AB88" s="1021" t="s">
        <v>127</v>
      </c>
      <c r="AD88" s="1068">
        <f>2*gerf(AD87)</f>
        <v>2</v>
      </c>
      <c r="AJ88" s="1021" t="s">
        <v>125</v>
      </c>
      <c r="AK88" s="1072">
        <f aca="true" t="shared" si="96" ref="AK88:BE88">gerfC(AK87)</f>
        <v>1.9737874375183124</v>
      </c>
      <c r="AL88" s="1048">
        <f t="shared" si="96"/>
        <v>1.8799050364894203</v>
      </c>
      <c r="AM88" s="1048">
        <f t="shared" si="96"/>
        <v>1.6242220078684024</v>
      </c>
      <c r="AN88" s="1048">
        <f t="shared" si="96"/>
        <v>1.1718145372006852</v>
      </c>
      <c r="AO88" s="1048">
        <f t="shared" si="96"/>
        <v>0.6515258264921926</v>
      </c>
      <c r="AP88" s="1048">
        <f t="shared" si="96"/>
        <v>0.2625790103320098</v>
      </c>
      <c r="AQ88" s="1048">
        <f t="shared" si="96"/>
        <v>0.07361655478645324</v>
      </c>
      <c r="AR88" s="1048">
        <f t="shared" si="96"/>
        <v>0.013984470149562056</v>
      </c>
      <c r="AS88" s="1048">
        <f t="shared" si="96"/>
        <v>0.0017699987342879586</v>
      </c>
      <c r="AT88" s="1048">
        <f t="shared" si="96"/>
        <v>0.0001476388585751609</v>
      </c>
      <c r="AU88" s="1048">
        <f t="shared" si="96"/>
        <v>8.056363304698166E-06</v>
      </c>
      <c r="AV88" s="1048">
        <f t="shared" si="96"/>
        <v>2.861414778454474E-07</v>
      </c>
      <c r="AW88" s="1048">
        <f t="shared" si="96"/>
        <v>6.591024614976959E-09</v>
      </c>
      <c r="AX88" s="1048">
        <f t="shared" si="96"/>
        <v>9.819822732737293E-11</v>
      </c>
      <c r="AY88" s="1048">
        <f t="shared" si="96"/>
        <v>9.444667270486207E-13</v>
      </c>
      <c r="AZ88" s="1048">
        <f t="shared" si="96"/>
        <v>5.88418203051333E-15</v>
      </c>
      <c r="BA88" s="1048">
        <f t="shared" si="96"/>
        <v>0</v>
      </c>
      <c r="BB88" s="1048">
        <f t="shared" si="96"/>
        <v>0</v>
      </c>
      <c r="BC88" s="1048">
        <f t="shared" si="96"/>
        <v>0</v>
      </c>
      <c r="BD88" s="1048">
        <f t="shared" si="96"/>
        <v>0</v>
      </c>
      <c r="BE88" s="1073">
        <f t="shared" si="96"/>
        <v>0</v>
      </c>
      <c r="BG88" s="1072">
        <f aca="true" t="shared" si="97" ref="BG88:CA88">gerfC(BG87)</f>
        <v>1.9983326742603804</v>
      </c>
      <c r="BH88" s="1048">
        <f t="shared" si="97"/>
        <v>1.9924383702390913</v>
      </c>
      <c r="BI88" s="1048">
        <f t="shared" si="97"/>
        <v>1.9720664548669138</v>
      </c>
      <c r="BJ88" s="1048">
        <f t="shared" si="97"/>
        <v>1.9155437400341324</v>
      </c>
      <c r="BK88" s="1048">
        <f t="shared" si="97"/>
        <v>1.7896385317395558</v>
      </c>
      <c r="BL88" s="1048">
        <f t="shared" si="97"/>
        <v>1.5644614075688474</v>
      </c>
      <c r="BM88" s="1048">
        <f t="shared" si="97"/>
        <v>1.241100223143317</v>
      </c>
      <c r="BN88" s="1048">
        <f t="shared" si="97"/>
        <v>0.8682378699776512</v>
      </c>
      <c r="BO88" s="1048">
        <f t="shared" si="97"/>
        <v>0.5230048631824669</v>
      </c>
      <c r="BP88" s="1048">
        <f t="shared" si="97"/>
        <v>0.2663345324845079</v>
      </c>
      <c r="BQ88" s="1048">
        <f t="shared" si="97"/>
        <v>0.11311033368459167</v>
      </c>
      <c r="BR88" s="1048">
        <f t="shared" si="97"/>
        <v>0.03966798427082385</v>
      </c>
      <c r="BS88" s="1048">
        <f t="shared" si="97"/>
        <v>0.011405837595390489</v>
      </c>
      <c r="BT88" s="1048">
        <f t="shared" si="97"/>
        <v>0.002674766574834564</v>
      </c>
      <c r="BU88" s="1048">
        <f t="shared" si="97"/>
        <v>0.0005095998955177983</v>
      </c>
      <c r="BV88" s="1048">
        <f t="shared" si="97"/>
        <v>7.864830598613981E-05</v>
      </c>
      <c r="BW88" s="1048">
        <f t="shared" si="97"/>
        <v>9.810649090224999E-06</v>
      </c>
      <c r="BX88" s="1048">
        <f t="shared" si="97"/>
        <v>9.874240174401194E-07</v>
      </c>
      <c r="BY88" s="1048">
        <f t="shared" si="97"/>
        <v>8.007860752279328E-08</v>
      </c>
      <c r="BZ88" s="1048">
        <f t="shared" si="97"/>
        <v>5.227150823294835E-09</v>
      </c>
      <c r="CA88" s="1073">
        <f t="shared" si="97"/>
        <v>2.7439017724617543E-10</v>
      </c>
      <c r="CC88" s="1072">
        <f aca="true" t="shared" si="98" ref="CC88:CW88">gerfC(CC87)</f>
        <v>1.999882090348613</v>
      </c>
      <c r="CD88" s="1048">
        <f t="shared" si="98"/>
        <v>1.9994685321061572</v>
      </c>
      <c r="CE88" s="1048">
        <f t="shared" si="98"/>
        <v>1.9979182534850888</v>
      </c>
      <c r="CF88" s="1048">
        <f t="shared" si="98"/>
        <v>1.9929029701564744</v>
      </c>
      <c r="CG88" s="1048">
        <f t="shared" si="98"/>
        <v>1.9789004432454154</v>
      </c>
      <c r="CH88" s="1048">
        <f t="shared" si="98"/>
        <v>1.945159758088567</v>
      </c>
      <c r="CI88" s="1048">
        <f t="shared" si="98"/>
        <v>1.8749903514523854</v>
      </c>
      <c r="CJ88" s="1048">
        <f t="shared" si="98"/>
        <v>1.749040857666543</v>
      </c>
      <c r="CK88" s="1048">
        <f t="shared" si="98"/>
        <v>1.553918772562699</v>
      </c>
      <c r="CL88" s="1048">
        <f t="shared" si="98"/>
        <v>1.2930131921278933</v>
      </c>
      <c r="CM88" s="1048">
        <f t="shared" si="98"/>
        <v>0.9918996017866066</v>
      </c>
      <c r="CN88" s="1048">
        <f t="shared" si="98"/>
        <v>0.691949395730307</v>
      </c>
      <c r="CO88" s="1048">
        <f t="shared" si="98"/>
        <v>0.4340562453074118</v>
      </c>
      <c r="CP88" s="1048">
        <f t="shared" si="98"/>
        <v>0.24267455612599287</v>
      </c>
      <c r="CQ88" s="1048">
        <f t="shared" si="98"/>
        <v>0.12009229372604613</v>
      </c>
      <c r="CR88" s="1048">
        <f t="shared" si="98"/>
        <v>0.05232565503323072</v>
      </c>
      <c r="CS88" s="1048">
        <f t="shared" si="98"/>
        <v>0.019991718734386543</v>
      </c>
      <c r="CT88" s="1048">
        <f t="shared" si="98"/>
        <v>0.0066765352428932445</v>
      </c>
      <c r="CU88" s="1048">
        <f t="shared" si="98"/>
        <v>0.0019442413271058001</v>
      </c>
      <c r="CV88" s="1048">
        <f t="shared" si="98"/>
        <v>0.0004927285537500437</v>
      </c>
      <c r="CW88" s="1073">
        <f t="shared" si="98"/>
        <v>0.00010850679466400948</v>
      </c>
      <c r="CY88" s="1072">
        <f aca="true" t="shared" si="99" ref="CY88:DS88">gerfC(CY87)</f>
        <v>1.9999912555096713</v>
      </c>
      <c r="CZ88" s="1048">
        <f t="shared" si="99"/>
        <v>1.9999607344814594</v>
      </c>
      <c r="DA88" s="1048">
        <f t="shared" si="99"/>
        <v>1.9998415405775098</v>
      </c>
      <c r="DB88" s="1048">
        <f t="shared" si="99"/>
        <v>1.9994248849865313</v>
      </c>
      <c r="DC88" s="1048">
        <f t="shared" si="99"/>
        <v>1.9981211952495732</v>
      </c>
      <c r="DD88" s="1048">
        <f t="shared" si="99"/>
        <v>1.9944698715403684</v>
      </c>
      <c r="DE88" s="1048">
        <f t="shared" si="99"/>
        <v>1.9853158849289323</v>
      </c>
      <c r="DF88" s="1048">
        <f t="shared" si="99"/>
        <v>1.964773143031112</v>
      </c>
      <c r="DG88" s="1048">
        <f t="shared" si="99"/>
        <v>1.923506547874922</v>
      </c>
      <c r="DH88" s="1048">
        <f t="shared" si="99"/>
        <v>1.8493013503879994</v>
      </c>
      <c r="DI88" s="1048">
        <f t="shared" si="99"/>
        <v>1.7298562715144503</v>
      </c>
      <c r="DJ88" s="1048">
        <f t="shared" si="99"/>
        <v>1.5577476084004631</v>
      </c>
      <c r="DK88" s="1048">
        <f t="shared" si="99"/>
        <v>1.3357542908886046</v>
      </c>
      <c r="DL88" s="1048">
        <f t="shared" si="99"/>
        <v>1.0794353218071868</v>
      </c>
      <c r="DM88" s="1048">
        <f t="shared" si="99"/>
        <v>0.8145083382519743</v>
      </c>
      <c r="DN88" s="1048">
        <f t="shared" si="99"/>
        <v>0.5693896985526934</v>
      </c>
      <c r="DO88" s="1048">
        <f t="shared" si="99"/>
        <v>0.36637364805324046</v>
      </c>
      <c r="DP88" s="1048">
        <f t="shared" si="99"/>
        <v>0.21585577055531568</v>
      </c>
      <c r="DQ88" s="1048">
        <f t="shared" si="99"/>
        <v>0.11595988079459318</v>
      </c>
      <c r="DR88" s="1048">
        <f t="shared" si="99"/>
        <v>0.05661178271352019</v>
      </c>
      <c r="DS88" s="1073">
        <f t="shared" si="99"/>
        <v>0.02504987928012059</v>
      </c>
      <c r="DU88" s="1072">
        <f aca="true" t="shared" si="100" ref="DU88:EO88">gerfC(DU87)</f>
        <v>1.9999993335250752</v>
      </c>
      <c r="DV88" s="1048">
        <f t="shared" si="100"/>
        <v>1.9999970149642818</v>
      </c>
      <c r="DW88" s="1048">
        <f t="shared" si="100"/>
        <v>1.9999877340960328</v>
      </c>
      <c r="DX88" s="1048">
        <f t="shared" si="100"/>
        <v>1.9999537413570685</v>
      </c>
      <c r="DY88" s="1048">
        <f t="shared" si="100"/>
        <v>1.999839817657684</v>
      </c>
      <c r="DZ88" s="1048">
        <f t="shared" si="100"/>
        <v>1.9994904560723934</v>
      </c>
      <c r="EA88" s="1048">
        <f t="shared" si="100"/>
        <v>1.998510126752933</v>
      </c>
      <c r="EB88" s="1048">
        <f t="shared" si="100"/>
        <v>1.9959929885705643</v>
      </c>
      <c r="EC88" s="1048">
        <f t="shared" si="100"/>
        <v>1.9900789708044664</v>
      </c>
      <c r="ED88" s="1048">
        <f t="shared" si="100"/>
        <v>1.9773644267823598</v>
      </c>
      <c r="EE88" s="1048">
        <f t="shared" si="100"/>
        <v>1.9523515607522035</v>
      </c>
      <c r="EF88" s="1048">
        <f t="shared" si="100"/>
        <v>1.9073246325467668</v>
      </c>
      <c r="EG88" s="1048">
        <f t="shared" si="100"/>
        <v>1.833154538740253</v>
      </c>
      <c r="EH88" s="1048">
        <f t="shared" si="100"/>
        <v>1.7213565047552613</v>
      </c>
      <c r="EI88" s="1048">
        <f t="shared" si="100"/>
        <v>1.5671547418209326</v>
      </c>
      <c r="EJ88" s="1048">
        <f t="shared" si="100"/>
        <v>1.3725311664612438</v>
      </c>
      <c r="EK88" s="1048">
        <f t="shared" si="100"/>
        <v>1.1477535428294678</v>
      </c>
      <c r="EL88" s="1048">
        <f t="shared" si="100"/>
        <v>0.9101996317759556</v>
      </c>
      <c r="EM88" s="1048">
        <f t="shared" si="100"/>
        <v>0.6804667377400818</v>
      </c>
      <c r="EN88" s="1048">
        <f t="shared" si="100"/>
        <v>0.4771673264271019</v>
      </c>
      <c r="EO88" s="1073">
        <f t="shared" si="100"/>
        <v>0.3125405989761887</v>
      </c>
    </row>
    <row r="89" spans="1:145" ht="12.75">
      <c r="A89" s="342"/>
      <c r="B89" s="342"/>
      <c r="C89" s="342"/>
      <c r="D89" s="342"/>
      <c r="E89" s="342"/>
      <c r="F89" s="342"/>
      <c r="G89" s="342"/>
      <c r="H89" s="342"/>
      <c r="I89" s="342"/>
      <c r="J89" s="342"/>
      <c r="K89" s="342"/>
      <c r="L89" s="342"/>
      <c r="M89" s="342"/>
      <c r="N89" s="342"/>
      <c r="O89" s="342"/>
      <c r="P89" s="342"/>
      <c r="Q89" s="342"/>
      <c r="AB89" s="1021" t="s">
        <v>128</v>
      </c>
      <c r="AD89" s="1069">
        <f>gerf((AD83+Y.1/2)/(2*(alpha.y*AD82)^0.5))-gerf((AD83-Y.1/2)/(2*(alpha.y*AD82)^0.5))</f>
        <v>1.9999999990169983</v>
      </c>
      <c r="AJ89" s="1021" t="s">
        <v>126</v>
      </c>
      <c r="AK89" s="1070">
        <f>[0]!Z/2/(alpha.z*AK84)^0.5</f>
        <v>5E+54</v>
      </c>
      <c r="AL89" s="1033">
        <f>[0]!Z/2/(alpha.z*AL84)^0.5</f>
        <v>2.4999999999687504E+49</v>
      </c>
      <c r="AM89" s="1033">
        <f>[0]!Z/2/(alpha.z*AM84)^0.5</f>
        <v>1.7677669529553203E+49</v>
      </c>
      <c r="AN89" s="1033">
        <f>[0]!Z/2/(alpha.z*AN84)^0.5</f>
        <v>1.4433756729680504E+49</v>
      </c>
      <c r="AO89" s="1033">
        <f>[0]!Z/2/(alpha.z*AO84)^0.5</f>
        <v>1.249999999996094E+49</v>
      </c>
      <c r="AP89" s="1033">
        <f>[0]!Z/2/(alpha.z*AP84)^0.5</f>
        <v>1.1180339887470999E+49</v>
      </c>
      <c r="AQ89" s="1033">
        <f>[0]!Z/2/(alpha.z*AQ84)^0.5</f>
        <v>1.0206207261575312E+49</v>
      </c>
      <c r="AR89" s="1033">
        <f>[0]!Z/2/(alpha.z*AR84)^0.5</f>
        <v>9.449111825213807E+48</v>
      </c>
      <c r="AS89" s="1033">
        <f>[0]!Z/2/(alpha.z*AS84)^0.5</f>
        <v>8.838834764818032E+48</v>
      </c>
      <c r="AT89" s="1033">
        <f>[0]!Z/2/(alpha.z*AT84)^0.5</f>
        <v>8.33333333332176E+48</v>
      </c>
      <c r="AU89" s="1033">
        <f>[0]!Z/2/(alpha.z*AU84)^0.5</f>
        <v>7.905694150411066E+48</v>
      </c>
      <c r="AV89" s="1033">
        <f>[0]!Z/2/(alpha.z*AV84)^0.5</f>
        <v>7.537783614435525E+48</v>
      </c>
      <c r="AW89" s="1033">
        <f>[0]!Z/2/(alpha.z*AW84)^0.5</f>
        <v>7.216878364862804E+48</v>
      </c>
      <c r="AX89" s="1033">
        <f>[0]!Z/2/(alpha.z*AX84)^0.5</f>
        <v>6.933752452808698E+48</v>
      </c>
      <c r="AY89" s="1033">
        <f>[0]!Z/2/(alpha.z*AY84)^0.5</f>
        <v>6.681531047804644E+48</v>
      </c>
      <c r="AZ89" s="1033">
        <f>[0]!Z/2/(alpha.z*AZ84)^0.5</f>
        <v>6.454972243673648E+48</v>
      </c>
      <c r="BA89" s="1033">
        <f>[0]!Z/2/(alpha.z*BA84)^0.5</f>
        <v>6.249999999995117E+48</v>
      </c>
      <c r="BB89" s="1033">
        <f>[0]!Z/2/(alpha.z*BB84)^0.5</f>
        <v>6.063390625903866E+48</v>
      </c>
      <c r="BC89" s="1033">
        <f>[0]!Z/2/(alpha.z*BC84)^0.5</f>
        <v>5.892556509883804E+48</v>
      </c>
      <c r="BD89" s="1033">
        <f>[0]!Z/2/(alpha.z*BD84)^0.5</f>
        <v>5.735393346760271E+48</v>
      </c>
      <c r="BE89" s="1071">
        <f>[0]!Z/2/(alpha.z*BE84)^0.5</f>
        <v>5.5901699437459806E+48</v>
      </c>
      <c r="BG89" s="1070">
        <f>[0]!Z/2/(alpha.z*BG84)^0.5</f>
        <v>5E+54</v>
      </c>
      <c r="BH89" s="1033">
        <f>[0]!Z/2/(alpha.z*BH84)^0.5</f>
        <v>2.4999999999687504E+49</v>
      </c>
      <c r="BI89" s="1033">
        <f>[0]!Z/2/(alpha.z*BI84)^0.5</f>
        <v>1.7677669529553203E+49</v>
      </c>
      <c r="BJ89" s="1033">
        <f>[0]!Z/2/(alpha.z*BJ84)^0.5</f>
        <v>1.4433756729680504E+49</v>
      </c>
      <c r="BK89" s="1033">
        <f>[0]!Z/2/(alpha.z*BK84)^0.5</f>
        <v>1.249999999996094E+49</v>
      </c>
      <c r="BL89" s="1033">
        <f>[0]!Z/2/(alpha.z*BL84)^0.5</f>
        <v>1.1180339887470999E+49</v>
      </c>
      <c r="BM89" s="1033">
        <f>[0]!Z/2/(alpha.z*BM84)^0.5</f>
        <v>1.0206207261575312E+49</v>
      </c>
      <c r="BN89" s="1033">
        <f>[0]!Z/2/(alpha.z*BN84)^0.5</f>
        <v>9.449111825213807E+48</v>
      </c>
      <c r="BO89" s="1033">
        <f>[0]!Z/2/(alpha.z*BO84)^0.5</f>
        <v>8.838834764818032E+48</v>
      </c>
      <c r="BP89" s="1033">
        <f>[0]!Z/2/(alpha.z*BP84)^0.5</f>
        <v>8.33333333332176E+48</v>
      </c>
      <c r="BQ89" s="1033">
        <f>[0]!Z/2/(alpha.z*BQ84)^0.5</f>
        <v>7.905694150411066E+48</v>
      </c>
      <c r="BR89" s="1033">
        <f>[0]!Z/2/(alpha.z*BR84)^0.5</f>
        <v>7.537783614435525E+48</v>
      </c>
      <c r="BS89" s="1033">
        <f>[0]!Z/2/(alpha.z*BS84)^0.5</f>
        <v>7.216878364862804E+48</v>
      </c>
      <c r="BT89" s="1033">
        <f>[0]!Z/2/(alpha.z*BT84)^0.5</f>
        <v>6.933752452808698E+48</v>
      </c>
      <c r="BU89" s="1033">
        <f>[0]!Z/2/(alpha.z*BU84)^0.5</f>
        <v>6.681531047804644E+48</v>
      </c>
      <c r="BV89" s="1033">
        <f>[0]!Z/2/(alpha.z*BV84)^0.5</f>
        <v>6.454972243673648E+48</v>
      </c>
      <c r="BW89" s="1033">
        <f>[0]!Z/2/(alpha.z*BW84)^0.5</f>
        <v>6.249999999995117E+48</v>
      </c>
      <c r="BX89" s="1033">
        <f>[0]!Z/2/(alpha.z*BX84)^0.5</f>
        <v>6.063390625903866E+48</v>
      </c>
      <c r="BY89" s="1033">
        <f>[0]!Z/2/(alpha.z*BY84)^0.5</f>
        <v>5.892556509883804E+48</v>
      </c>
      <c r="BZ89" s="1033">
        <f>[0]!Z/2/(alpha.z*BZ84)^0.5</f>
        <v>5.735393346760271E+48</v>
      </c>
      <c r="CA89" s="1071">
        <f>[0]!Z/2/(alpha.z*CA84)^0.5</f>
        <v>5.5901699437459806E+48</v>
      </c>
      <c r="CC89" s="1070">
        <f>[0]!Z/2/(alpha.z*CC84)^0.5</f>
        <v>5E+54</v>
      </c>
      <c r="CD89" s="1033">
        <f>[0]!Z/2/(alpha.z*CD84)^0.5</f>
        <v>2.4999999999687504E+49</v>
      </c>
      <c r="CE89" s="1033">
        <f>[0]!Z/2/(alpha.z*CE84)^0.5</f>
        <v>1.7677669529553203E+49</v>
      </c>
      <c r="CF89" s="1033">
        <f>[0]!Z/2/(alpha.z*CF84)^0.5</f>
        <v>1.4433756729680504E+49</v>
      </c>
      <c r="CG89" s="1033">
        <f>[0]!Z/2/(alpha.z*CG84)^0.5</f>
        <v>1.249999999996094E+49</v>
      </c>
      <c r="CH89" s="1033">
        <f>[0]!Z/2/(alpha.z*CH84)^0.5</f>
        <v>1.1180339887470999E+49</v>
      </c>
      <c r="CI89" s="1033">
        <f>[0]!Z/2/(alpha.z*CI84)^0.5</f>
        <v>1.0206207261575312E+49</v>
      </c>
      <c r="CJ89" s="1033">
        <f>[0]!Z/2/(alpha.z*CJ84)^0.5</f>
        <v>9.449111825213807E+48</v>
      </c>
      <c r="CK89" s="1033">
        <f>[0]!Z/2/(alpha.z*CK84)^0.5</f>
        <v>8.838834764818032E+48</v>
      </c>
      <c r="CL89" s="1033">
        <f>[0]!Z/2/(alpha.z*CL84)^0.5</f>
        <v>8.33333333332176E+48</v>
      </c>
      <c r="CM89" s="1033">
        <f>[0]!Z/2/(alpha.z*CM84)^0.5</f>
        <v>7.905694150411066E+48</v>
      </c>
      <c r="CN89" s="1033">
        <f>[0]!Z/2/(alpha.z*CN84)^0.5</f>
        <v>7.537783614435525E+48</v>
      </c>
      <c r="CO89" s="1033">
        <f>[0]!Z/2/(alpha.z*CO84)^0.5</f>
        <v>7.216878364862804E+48</v>
      </c>
      <c r="CP89" s="1033">
        <f>[0]!Z/2/(alpha.z*CP84)^0.5</f>
        <v>6.933752452808698E+48</v>
      </c>
      <c r="CQ89" s="1033">
        <f>[0]!Z/2/(alpha.z*CQ84)^0.5</f>
        <v>6.681531047804644E+48</v>
      </c>
      <c r="CR89" s="1033">
        <f>[0]!Z/2/(alpha.z*CR84)^0.5</f>
        <v>6.454972243673648E+48</v>
      </c>
      <c r="CS89" s="1033">
        <f>[0]!Z/2/(alpha.z*CS84)^0.5</f>
        <v>6.249999999995117E+48</v>
      </c>
      <c r="CT89" s="1033">
        <f>[0]!Z/2/(alpha.z*CT84)^0.5</f>
        <v>6.063390625903866E+48</v>
      </c>
      <c r="CU89" s="1033">
        <f>[0]!Z/2/(alpha.z*CU84)^0.5</f>
        <v>5.892556509883804E+48</v>
      </c>
      <c r="CV89" s="1033">
        <f>[0]!Z/2/(alpha.z*CV84)^0.5</f>
        <v>5.735393346760271E+48</v>
      </c>
      <c r="CW89" s="1071">
        <f>[0]!Z/2/(alpha.z*CW84)^0.5</f>
        <v>5.5901699437459806E+48</v>
      </c>
      <c r="CY89" s="1070">
        <f>[0]!Z/2/(alpha.z*CY84)^0.5</f>
        <v>5E+54</v>
      </c>
      <c r="CZ89" s="1033">
        <f>[0]!Z/2/(alpha.z*CZ84)^0.5</f>
        <v>2.4999999999687504E+49</v>
      </c>
      <c r="DA89" s="1033">
        <f>[0]!Z/2/(alpha.z*DA84)^0.5</f>
        <v>1.7677669529553203E+49</v>
      </c>
      <c r="DB89" s="1033">
        <f>[0]!Z/2/(alpha.z*DB84)^0.5</f>
        <v>1.4433756729680504E+49</v>
      </c>
      <c r="DC89" s="1033">
        <f>[0]!Z/2/(alpha.z*DC84)^0.5</f>
        <v>1.249999999996094E+49</v>
      </c>
      <c r="DD89" s="1033">
        <f>[0]!Z/2/(alpha.z*DD84)^0.5</f>
        <v>1.1180339887470999E+49</v>
      </c>
      <c r="DE89" s="1033">
        <f>[0]!Z/2/(alpha.z*DE84)^0.5</f>
        <v>1.0206207261575312E+49</v>
      </c>
      <c r="DF89" s="1033">
        <f>[0]!Z/2/(alpha.z*DF84)^0.5</f>
        <v>9.449111825213807E+48</v>
      </c>
      <c r="DG89" s="1033">
        <f>[0]!Z/2/(alpha.z*DG84)^0.5</f>
        <v>8.838834764818032E+48</v>
      </c>
      <c r="DH89" s="1033">
        <f>[0]!Z/2/(alpha.z*DH84)^0.5</f>
        <v>8.33333333332176E+48</v>
      </c>
      <c r="DI89" s="1033">
        <f>[0]!Z/2/(alpha.z*DI84)^0.5</f>
        <v>7.905694150411066E+48</v>
      </c>
      <c r="DJ89" s="1033">
        <f>[0]!Z/2/(alpha.z*DJ84)^0.5</f>
        <v>7.537783614435525E+48</v>
      </c>
      <c r="DK89" s="1033">
        <f>[0]!Z/2/(alpha.z*DK84)^0.5</f>
        <v>7.216878364862804E+48</v>
      </c>
      <c r="DL89" s="1033">
        <f>[0]!Z/2/(alpha.z*DL84)^0.5</f>
        <v>6.933752452808698E+48</v>
      </c>
      <c r="DM89" s="1033">
        <f>[0]!Z/2/(alpha.z*DM84)^0.5</f>
        <v>6.681531047804644E+48</v>
      </c>
      <c r="DN89" s="1033">
        <f>[0]!Z/2/(alpha.z*DN84)^0.5</f>
        <v>6.454972243673648E+48</v>
      </c>
      <c r="DO89" s="1033">
        <f>[0]!Z/2/(alpha.z*DO84)^0.5</f>
        <v>6.249999999995117E+48</v>
      </c>
      <c r="DP89" s="1033">
        <f>[0]!Z/2/(alpha.z*DP84)^0.5</f>
        <v>6.063390625903866E+48</v>
      </c>
      <c r="DQ89" s="1033">
        <f>[0]!Z/2/(alpha.z*DQ84)^0.5</f>
        <v>5.892556509883804E+48</v>
      </c>
      <c r="DR89" s="1033">
        <f>[0]!Z/2/(alpha.z*DR84)^0.5</f>
        <v>5.735393346760271E+48</v>
      </c>
      <c r="DS89" s="1071">
        <f>[0]!Z/2/(alpha.z*DS84)^0.5</f>
        <v>5.5901699437459806E+48</v>
      </c>
      <c r="DU89" s="1070">
        <f>[0]!Z/2/(alpha.z*DU84)^0.5</f>
        <v>5E+54</v>
      </c>
      <c r="DV89" s="1033">
        <f>[0]!Z/2/(alpha.z*DV84)^0.5</f>
        <v>2.4999999999687504E+49</v>
      </c>
      <c r="DW89" s="1033">
        <f>[0]!Z/2/(alpha.z*DW84)^0.5</f>
        <v>1.7677669529553203E+49</v>
      </c>
      <c r="DX89" s="1033">
        <f>[0]!Z/2/(alpha.z*DX84)^0.5</f>
        <v>1.4433756729680504E+49</v>
      </c>
      <c r="DY89" s="1033">
        <f>[0]!Z/2/(alpha.z*DY84)^0.5</f>
        <v>1.249999999996094E+49</v>
      </c>
      <c r="DZ89" s="1033">
        <f>[0]!Z/2/(alpha.z*DZ84)^0.5</f>
        <v>1.1180339887470999E+49</v>
      </c>
      <c r="EA89" s="1033">
        <f>[0]!Z/2/(alpha.z*EA84)^0.5</f>
        <v>1.0206207261575312E+49</v>
      </c>
      <c r="EB89" s="1033">
        <f>[0]!Z/2/(alpha.z*EB84)^0.5</f>
        <v>9.449111825213807E+48</v>
      </c>
      <c r="EC89" s="1033">
        <f>[0]!Z/2/(alpha.z*EC84)^0.5</f>
        <v>8.838834764818032E+48</v>
      </c>
      <c r="ED89" s="1033">
        <f>[0]!Z/2/(alpha.z*ED84)^0.5</f>
        <v>8.33333333332176E+48</v>
      </c>
      <c r="EE89" s="1033">
        <f>[0]!Z/2/(alpha.z*EE84)^0.5</f>
        <v>7.905694150411066E+48</v>
      </c>
      <c r="EF89" s="1033">
        <f>[0]!Z/2/(alpha.z*EF84)^0.5</f>
        <v>7.537783614435525E+48</v>
      </c>
      <c r="EG89" s="1033">
        <f>[0]!Z/2/(alpha.z*EG84)^0.5</f>
        <v>7.216878364862804E+48</v>
      </c>
      <c r="EH89" s="1033">
        <f>[0]!Z/2/(alpha.z*EH84)^0.5</f>
        <v>6.933752452808698E+48</v>
      </c>
      <c r="EI89" s="1033">
        <f>[0]!Z/2/(alpha.z*EI84)^0.5</f>
        <v>6.681531047804644E+48</v>
      </c>
      <c r="EJ89" s="1033">
        <f>[0]!Z/2/(alpha.z*EJ84)^0.5</f>
        <v>6.454972243673648E+48</v>
      </c>
      <c r="EK89" s="1033">
        <f>[0]!Z/2/(alpha.z*EK84)^0.5</f>
        <v>6.249999999995117E+48</v>
      </c>
      <c r="EL89" s="1033">
        <f>[0]!Z/2/(alpha.z*EL84)^0.5</f>
        <v>6.063390625903866E+48</v>
      </c>
      <c r="EM89" s="1033">
        <f>[0]!Z/2/(alpha.z*EM84)^0.5</f>
        <v>5.892556509883804E+48</v>
      </c>
      <c r="EN89" s="1033">
        <f>[0]!Z/2/(alpha.z*EN84)^0.5</f>
        <v>5.735393346760271E+48</v>
      </c>
      <c r="EO89" s="1071">
        <f>[0]!Z/2/(alpha.z*EO84)^0.5</f>
        <v>5.5901699437459806E+48</v>
      </c>
    </row>
    <row r="90" spans="1:145" ht="12.75">
      <c r="A90" s="342"/>
      <c r="B90" s="342"/>
      <c r="C90" s="342"/>
      <c r="D90" s="342"/>
      <c r="E90" s="342"/>
      <c r="F90" s="342"/>
      <c r="G90" s="342"/>
      <c r="H90" s="342"/>
      <c r="I90" s="342"/>
      <c r="J90" s="342"/>
      <c r="K90" s="342"/>
      <c r="L90" s="342"/>
      <c r="M90" s="342"/>
      <c r="N90" s="342"/>
      <c r="O90" s="342"/>
      <c r="P90" s="342"/>
      <c r="Q90" s="342"/>
      <c r="AB90" s="1021" t="s">
        <v>51</v>
      </c>
      <c r="AD90" s="1069">
        <f>gerf((AD83+Y.2/2)/(2*(alpha.y*AD82)^0.5))-gerf((AD83-Y.2/2)/(2*(alpha.y*AD82)^0.5))</f>
        <v>1.999621689925006</v>
      </c>
      <c r="AJ90" s="1021" t="s">
        <v>127</v>
      </c>
      <c r="AK90" s="1072">
        <f aca="true" t="shared" si="101" ref="AK90:BE90">2*gerf(AK89)</f>
        <v>2</v>
      </c>
      <c r="AL90" s="1048">
        <f t="shared" si="101"/>
        <v>2</v>
      </c>
      <c r="AM90" s="1048">
        <f t="shared" si="101"/>
        <v>2</v>
      </c>
      <c r="AN90" s="1048">
        <f t="shared" si="101"/>
        <v>2</v>
      </c>
      <c r="AO90" s="1048">
        <f t="shared" si="101"/>
        <v>2</v>
      </c>
      <c r="AP90" s="1048">
        <f t="shared" si="101"/>
        <v>2</v>
      </c>
      <c r="AQ90" s="1048">
        <f t="shared" si="101"/>
        <v>2</v>
      </c>
      <c r="AR90" s="1048">
        <f t="shared" si="101"/>
        <v>2</v>
      </c>
      <c r="AS90" s="1048">
        <f t="shared" si="101"/>
        <v>2</v>
      </c>
      <c r="AT90" s="1048">
        <f t="shared" si="101"/>
        <v>2</v>
      </c>
      <c r="AU90" s="1048">
        <f t="shared" si="101"/>
        <v>2</v>
      </c>
      <c r="AV90" s="1048">
        <f t="shared" si="101"/>
        <v>2</v>
      </c>
      <c r="AW90" s="1048">
        <f t="shared" si="101"/>
        <v>2</v>
      </c>
      <c r="AX90" s="1048">
        <f t="shared" si="101"/>
        <v>2</v>
      </c>
      <c r="AY90" s="1048">
        <f t="shared" si="101"/>
        <v>2</v>
      </c>
      <c r="AZ90" s="1048">
        <f t="shared" si="101"/>
        <v>2</v>
      </c>
      <c r="BA90" s="1048">
        <f t="shared" si="101"/>
        <v>2</v>
      </c>
      <c r="BB90" s="1048">
        <f t="shared" si="101"/>
        <v>2</v>
      </c>
      <c r="BC90" s="1048">
        <f t="shared" si="101"/>
        <v>2</v>
      </c>
      <c r="BD90" s="1048">
        <f t="shared" si="101"/>
        <v>2</v>
      </c>
      <c r="BE90" s="1073">
        <f t="shared" si="101"/>
        <v>2</v>
      </c>
      <c r="BG90" s="1072">
        <f aca="true" t="shared" si="102" ref="BG90:CA90">2*gerf(BG89)</f>
        <v>2</v>
      </c>
      <c r="BH90" s="1048">
        <f t="shared" si="102"/>
        <v>2</v>
      </c>
      <c r="BI90" s="1048">
        <f t="shared" si="102"/>
        <v>2</v>
      </c>
      <c r="BJ90" s="1048">
        <f t="shared" si="102"/>
        <v>2</v>
      </c>
      <c r="BK90" s="1048">
        <f t="shared" si="102"/>
        <v>2</v>
      </c>
      <c r="BL90" s="1048">
        <f t="shared" si="102"/>
        <v>2</v>
      </c>
      <c r="BM90" s="1048">
        <f t="shared" si="102"/>
        <v>2</v>
      </c>
      <c r="BN90" s="1048">
        <f t="shared" si="102"/>
        <v>2</v>
      </c>
      <c r="BO90" s="1048">
        <f t="shared" si="102"/>
        <v>2</v>
      </c>
      <c r="BP90" s="1048">
        <f t="shared" si="102"/>
        <v>2</v>
      </c>
      <c r="BQ90" s="1048">
        <f t="shared" si="102"/>
        <v>2</v>
      </c>
      <c r="BR90" s="1048">
        <f t="shared" si="102"/>
        <v>2</v>
      </c>
      <c r="BS90" s="1048">
        <f t="shared" si="102"/>
        <v>2</v>
      </c>
      <c r="BT90" s="1048">
        <f t="shared" si="102"/>
        <v>2</v>
      </c>
      <c r="BU90" s="1048">
        <f t="shared" si="102"/>
        <v>2</v>
      </c>
      <c r="BV90" s="1048">
        <f t="shared" si="102"/>
        <v>2</v>
      </c>
      <c r="BW90" s="1048">
        <f t="shared" si="102"/>
        <v>2</v>
      </c>
      <c r="BX90" s="1048">
        <f t="shared" si="102"/>
        <v>2</v>
      </c>
      <c r="BY90" s="1048">
        <f t="shared" si="102"/>
        <v>2</v>
      </c>
      <c r="BZ90" s="1048">
        <f t="shared" si="102"/>
        <v>2</v>
      </c>
      <c r="CA90" s="1073">
        <f t="shared" si="102"/>
        <v>2</v>
      </c>
      <c r="CC90" s="1072">
        <f aca="true" t="shared" si="103" ref="CC90:CW90">2*gerf(CC89)</f>
        <v>2</v>
      </c>
      <c r="CD90" s="1048">
        <f t="shared" si="103"/>
        <v>2</v>
      </c>
      <c r="CE90" s="1048">
        <f t="shared" si="103"/>
        <v>2</v>
      </c>
      <c r="CF90" s="1048">
        <f t="shared" si="103"/>
        <v>2</v>
      </c>
      <c r="CG90" s="1048">
        <f t="shared" si="103"/>
        <v>2</v>
      </c>
      <c r="CH90" s="1048">
        <f t="shared" si="103"/>
        <v>2</v>
      </c>
      <c r="CI90" s="1048">
        <f t="shared" si="103"/>
        <v>2</v>
      </c>
      <c r="CJ90" s="1048">
        <f t="shared" si="103"/>
        <v>2</v>
      </c>
      <c r="CK90" s="1048">
        <f t="shared" si="103"/>
        <v>2</v>
      </c>
      <c r="CL90" s="1048">
        <f t="shared" si="103"/>
        <v>2</v>
      </c>
      <c r="CM90" s="1048">
        <f t="shared" si="103"/>
        <v>2</v>
      </c>
      <c r="CN90" s="1048">
        <f t="shared" si="103"/>
        <v>2</v>
      </c>
      <c r="CO90" s="1048">
        <f t="shared" si="103"/>
        <v>2</v>
      </c>
      <c r="CP90" s="1048">
        <f t="shared" si="103"/>
        <v>2</v>
      </c>
      <c r="CQ90" s="1048">
        <f t="shared" si="103"/>
        <v>2</v>
      </c>
      <c r="CR90" s="1048">
        <f t="shared" si="103"/>
        <v>2</v>
      </c>
      <c r="CS90" s="1048">
        <f t="shared" si="103"/>
        <v>2</v>
      </c>
      <c r="CT90" s="1048">
        <f t="shared" si="103"/>
        <v>2</v>
      </c>
      <c r="CU90" s="1048">
        <f t="shared" si="103"/>
        <v>2</v>
      </c>
      <c r="CV90" s="1048">
        <f t="shared" si="103"/>
        <v>2</v>
      </c>
      <c r="CW90" s="1073">
        <f t="shared" si="103"/>
        <v>2</v>
      </c>
      <c r="CY90" s="1072">
        <f aca="true" t="shared" si="104" ref="CY90:DS90">2*gerf(CY89)</f>
        <v>2</v>
      </c>
      <c r="CZ90" s="1048">
        <f t="shared" si="104"/>
        <v>2</v>
      </c>
      <c r="DA90" s="1048">
        <f t="shared" si="104"/>
        <v>2</v>
      </c>
      <c r="DB90" s="1048">
        <f t="shared" si="104"/>
        <v>2</v>
      </c>
      <c r="DC90" s="1048">
        <f t="shared" si="104"/>
        <v>2</v>
      </c>
      <c r="DD90" s="1048">
        <f t="shared" si="104"/>
        <v>2</v>
      </c>
      <c r="DE90" s="1048">
        <f t="shared" si="104"/>
        <v>2</v>
      </c>
      <c r="DF90" s="1048">
        <f t="shared" si="104"/>
        <v>2</v>
      </c>
      <c r="DG90" s="1048">
        <f t="shared" si="104"/>
        <v>2</v>
      </c>
      <c r="DH90" s="1048">
        <f t="shared" si="104"/>
        <v>2</v>
      </c>
      <c r="DI90" s="1048">
        <f t="shared" si="104"/>
        <v>2</v>
      </c>
      <c r="DJ90" s="1048">
        <f t="shared" si="104"/>
        <v>2</v>
      </c>
      <c r="DK90" s="1048">
        <f t="shared" si="104"/>
        <v>2</v>
      </c>
      <c r="DL90" s="1048">
        <f t="shared" si="104"/>
        <v>2</v>
      </c>
      <c r="DM90" s="1048">
        <f t="shared" si="104"/>
        <v>2</v>
      </c>
      <c r="DN90" s="1048">
        <f t="shared" si="104"/>
        <v>2</v>
      </c>
      <c r="DO90" s="1048">
        <f t="shared" si="104"/>
        <v>2</v>
      </c>
      <c r="DP90" s="1048">
        <f t="shared" si="104"/>
        <v>2</v>
      </c>
      <c r="DQ90" s="1048">
        <f t="shared" si="104"/>
        <v>2</v>
      </c>
      <c r="DR90" s="1048">
        <f t="shared" si="104"/>
        <v>2</v>
      </c>
      <c r="DS90" s="1073">
        <f t="shared" si="104"/>
        <v>2</v>
      </c>
      <c r="DU90" s="1072">
        <f aca="true" t="shared" si="105" ref="DU90:EO90">2*gerf(DU89)</f>
        <v>2</v>
      </c>
      <c r="DV90" s="1048">
        <f t="shared" si="105"/>
        <v>2</v>
      </c>
      <c r="DW90" s="1048">
        <f t="shared" si="105"/>
        <v>2</v>
      </c>
      <c r="DX90" s="1048">
        <f t="shared" si="105"/>
        <v>2</v>
      </c>
      <c r="DY90" s="1048">
        <f t="shared" si="105"/>
        <v>2</v>
      </c>
      <c r="DZ90" s="1048">
        <f t="shared" si="105"/>
        <v>2</v>
      </c>
      <c r="EA90" s="1048">
        <f t="shared" si="105"/>
        <v>2</v>
      </c>
      <c r="EB90" s="1048">
        <f t="shared" si="105"/>
        <v>2</v>
      </c>
      <c r="EC90" s="1048">
        <f t="shared" si="105"/>
        <v>2</v>
      </c>
      <c r="ED90" s="1048">
        <f t="shared" si="105"/>
        <v>2</v>
      </c>
      <c r="EE90" s="1048">
        <f t="shared" si="105"/>
        <v>2</v>
      </c>
      <c r="EF90" s="1048">
        <f t="shared" si="105"/>
        <v>2</v>
      </c>
      <c r="EG90" s="1048">
        <f t="shared" si="105"/>
        <v>2</v>
      </c>
      <c r="EH90" s="1048">
        <f t="shared" si="105"/>
        <v>2</v>
      </c>
      <c r="EI90" s="1048">
        <f t="shared" si="105"/>
        <v>2</v>
      </c>
      <c r="EJ90" s="1048">
        <f t="shared" si="105"/>
        <v>2</v>
      </c>
      <c r="EK90" s="1048">
        <f t="shared" si="105"/>
        <v>2</v>
      </c>
      <c r="EL90" s="1048">
        <f t="shared" si="105"/>
        <v>2</v>
      </c>
      <c r="EM90" s="1048">
        <f t="shared" si="105"/>
        <v>2</v>
      </c>
      <c r="EN90" s="1048">
        <f t="shared" si="105"/>
        <v>2</v>
      </c>
      <c r="EO90" s="1073">
        <f t="shared" si="105"/>
        <v>2</v>
      </c>
    </row>
    <row r="91" spans="1:145" ht="12.75">
      <c r="A91" s="342"/>
      <c r="B91" s="342"/>
      <c r="C91" s="342"/>
      <c r="D91" s="342"/>
      <c r="E91" s="342"/>
      <c r="F91" s="342"/>
      <c r="G91" s="342"/>
      <c r="H91" s="342"/>
      <c r="I91" s="342"/>
      <c r="J91" s="342"/>
      <c r="K91" s="342"/>
      <c r="L91" s="342"/>
      <c r="M91" s="342"/>
      <c r="N91" s="342"/>
      <c r="O91" s="342"/>
      <c r="P91" s="342"/>
      <c r="Q91" s="342"/>
      <c r="AB91" s="1021" t="s">
        <v>57</v>
      </c>
      <c r="AD91" s="1069">
        <f>gerf((AD83+Y.3/2)/(2*(alpha.y*AD82)^0.5))-gerf((AD83-Y.3/2)/(2*(alpha.y*AD82)^0.5))</f>
        <v>1.9743590611088813</v>
      </c>
      <c r="AJ91" s="1021" t="s">
        <v>128</v>
      </c>
      <c r="AK91" s="1070">
        <f aca="true" t="shared" si="106" ref="AK91:BE91">gerf((AK$85+Y.1/2)/(2*(alpha.y*AK$84)^0.5))-gerf((AK$85-Y.1/2)/(2*(alpha.y*AK$84)^0.5))</f>
        <v>2</v>
      </c>
      <c r="AL91" s="1033">
        <f t="shared" si="106"/>
        <v>2</v>
      </c>
      <c r="AM91" s="1033">
        <f t="shared" si="106"/>
        <v>2</v>
      </c>
      <c r="AN91" s="1033">
        <f t="shared" si="106"/>
        <v>1.9999999999930074</v>
      </c>
      <c r="AO91" s="1033">
        <f t="shared" si="106"/>
        <v>1.9999999966015949</v>
      </c>
      <c r="AP91" s="1033">
        <f t="shared" si="106"/>
        <v>1.9999998576916622</v>
      </c>
      <c r="AQ91" s="1033">
        <f t="shared" si="106"/>
        <v>1.999998258119476</v>
      </c>
      <c r="AR91" s="1033">
        <f t="shared" si="106"/>
        <v>1.9999894672784926</v>
      </c>
      <c r="AS91" s="1033">
        <f t="shared" si="106"/>
        <v>1.999959072781275</v>
      </c>
      <c r="AT91" s="1033">
        <f t="shared" si="106"/>
        <v>1.9998816872678666</v>
      </c>
      <c r="AU91" s="1033">
        <f t="shared" si="106"/>
        <v>1.9997221286357716</v>
      </c>
      <c r="AV91" s="1033">
        <f t="shared" si="106"/>
        <v>1.9994391563007494</v>
      </c>
      <c r="AW91" s="1033">
        <f t="shared" si="106"/>
        <v>1.9989899946808924</v>
      </c>
      <c r="AX91" s="1033">
        <f t="shared" si="106"/>
        <v>1.9983342975215204</v>
      </c>
      <c r="AY91" s="1033">
        <f t="shared" si="106"/>
        <v>1.997436943606412</v>
      </c>
      <c r="AZ91" s="1033">
        <f t="shared" si="106"/>
        <v>1.9962696024451747</v>
      </c>
      <c r="BA91" s="1033">
        <f t="shared" si="106"/>
        <v>1.994811284012037</v>
      </c>
      <c r="BB91" s="1033">
        <f t="shared" si="106"/>
        <v>1.993048167359663</v>
      </c>
      <c r="BC91" s="1033">
        <f t="shared" si="106"/>
        <v>1.990972981844674</v>
      </c>
      <c r="BD91" s="1033">
        <f t="shared" si="106"/>
        <v>1.9885841553878374</v>
      </c>
      <c r="BE91" s="1071">
        <f t="shared" si="106"/>
        <v>1.9858848804353764</v>
      </c>
      <c r="BG91" s="1070">
        <f aca="true" t="shared" si="107" ref="BG91:CA91">gerf((BG$85+Y.1/2)/(2*(alpha.y*BG$84)^0.5))-gerf((BG$85-Y.1/2)/(2*(alpha.y*BG$84)^0.5))</f>
        <v>2</v>
      </c>
      <c r="BH91" s="1033">
        <f t="shared" si="107"/>
        <v>2</v>
      </c>
      <c r="BI91" s="1033">
        <f t="shared" si="107"/>
        <v>2</v>
      </c>
      <c r="BJ91" s="1033">
        <f t="shared" si="107"/>
        <v>1.9999999999930074</v>
      </c>
      <c r="BK91" s="1033">
        <f t="shared" si="107"/>
        <v>1.9999999966015949</v>
      </c>
      <c r="BL91" s="1033">
        <f t="shared" si="107"/>
        <v>1.9999998576916622</v>
      </c>
      <c r="BM91" s="1033">
        <f t="shared" si="107"/>
        <v>1.999998258119476</v>
      </c>
      <c r="BN91" s="1033">
        <f t="shared" si="107"/>
        <v>1.9999894672784926</v>
      </c>
      <c r="BO91" s="1033">
        <f t="shared" si="107"/>
        <v>1.999959072781275</v>
      </c>
      <c r="BP91" s="1033">
        <f t="shared" si="107"/>
        <v>1.9998816872678666</v>
      </c>
      <c r="BQ91" s="1033">
        <f t="shared" si="107"/>
        <v>1.9997221286357716</v>
      </c>
      <c r="BR91" s="1033">
        <f t="shared" si="107"/>
        <v>1.9994391563007494</v>
      </c>
      <c r="BS91" s="1033">
        <f t="shared" si="107"/>
        <v>1.9989899946808924</v>
      </c>
      <c r="BT91" s="1033">
        <f t="shared" si="107"/>
        <v>1.9983342975215204</v>
      </c>
      <c r="BU91" s="1033">
        <f t="shared" si="107"/>
        <v>1.997436943606412</v>
      </c>
      <c r="BV91" s="1033">
        <f t="shared" si="107"/>
        <v>1.9962696024451747</v>
      </c>
      <c r="BW91" s="1033">
        <f t="shared" si="107"/>
        <v>1.994811284012037</v>
      </c>
      <c r="BX91" s="1033">
        <f t="shared" si="107"/>
        <v>1.993048167359663</v>
      </c>
      <c r="BY91" s="1033">
        <f t="shared" si="107"/>
        <v>1.990972981844674</v>
      </c>
      <c r="BZ91" s="1033">
        <f t="shared" si="107"/>
        <v>1.9885841553878374</v>
      </c>
      <c r="CA91" s="1071">
        <f t="shared" si="107"/>
        <v>1.9858848804353764</v>
      </c>
      <c r="CC91" s="1070">
        <f aca="true" t="shared" si="108" ref="CC91:CW91">gerf((CC$85+Y.1/2)/(2*(alpha.y*CC$84)^0.5))-gerf((CC$85-Y.1/2)/(2*(alpha.y*CC$84)^0.5))</f>
        <v>2</v>
      </c>
      <c r="CD91" s="1033">
        <f t="shared" si="108"/>
        <v>2</v>
      </c>
      <c r="CE91" s="1033">
        <f t="shared" si="108"/>
        <v>2</v>
      </c>
      <c r="CF91" s="1033">
        <f t="shared" si="108"/>
        <v>1.9999999999930074</v>
      </c>
      <c r="CG91" s="1033">
        <f t="shared" si="108"/>
        <v>1.9999999966015949</v>
      </c>
      <c r="CH91" s="1033">
        <f t="shared" si="108"/>
        <v>1.9999998576916622</v>
      </c>
      <c r="CI91" s="1033">
        <f t="shared" si="108"/>
        <v>1.999998258119476</v>
      </c>
      <c r="CJ91" s="1033">
        <f t="shared" si="108"/>
        <v>1.9999894672784926</v>
      </c>
      <c r="CK91" s="1033">
        <f t="shared" si="108"/>
        <v>1.999959072781275</v>
      </c>
      <c r="CL91" s="1033">
        <f t="shared" si="108"/>
        <v>1.9998816872678666</v>
      </c>
      <c r="CM91" s="1033">
        <f t="shared" si="108"/>
        <v>1.9997221286357716</v>
      </c>
      <c r="CN91" s="1033">
        <f t="shared" si="108"/>
        <v>1.9994391563007494</v>
      </c>
      <c r="CO91" s="1033">
        <f t="shared" si="108"/>
        <v>1.9989899946808924</v>
      </c>
      <c r="CP91" s="1033">
        <f t="shared" si="108"/>
        <v>1.9983342975215204</v>
      </c>
      <c r="CQ91" s="1033">
        <f t="shared" si="108"/>
        <v>1.997436943606412</v>
      </c>
      <c r="CR91" s="1033">
        <f t="shared" si="108"/>
        <v>1.9962696024451747</v>
      </c>
      <c r="CS91" s="1033">
        <f t="shared" si="108"/>
        <v>1.994811284012037</v>
      </c>
      <c r="CT91" s="1033">
        <f t="shared" si="108"/>
        <v>1.993048167359663</v>
      </c>
      <c r="CU91" s="1033">
        <f t="shared" si="108"/>
        <v>1.990972981844674</v>
      </c>
      <c r="CV91" s="1033">
        <f t="shared" si="108"/>
        <v>1.9885841553878374</v>
      </c>
      <c r="CW91" s="1071">
        <f t="shared" si="108"/>
        <v>1.9858848804353764</v>
      </c>
      <c r="CY91" s="1070">
        <f aca="true" t="shared" si="109" ref="CY91:DS91">gerf((CY$85+Y.1/2)/(2*(alpha.y*CY$84)^0.5))-gerf((CY$85-Y.1/2)/(2*(alpha.y*CY$84)^0.5))</f>
        <v>2</v>
      </c>
      <c r="CZ91" s="1033">
        <f t="shared" si="109"/>
        <v>2</v>
      </c>
      <c r="DA91" s="1033">
        <f t="shared" si="109"/>
        <v>2</v>
      </c>
      <c r="DB91" s="1033">
        <f t="shared" si="109"/>
        <v>1.9999999999930074</v>
      </c>
      <c r="DC91" s="1033">
        <f t="shared" si="109"/>
        <v>1.9999999966015949</v>
      </c>
      <c r="DD91" s="1033">
        <f t="shared" si="109"/>
        <v>1.9999998576916622</v>
      </c>
      <c r="DE91" s="1033">
        <f t="shared" si="109"/>
        <v>1.999998258119476</v>
      </c>
      <c r="DF91" s="1033">
        <f t="shared" si="109"/>
        <v>1.9999894672784926</v>
      </c>
      <c r="DG91" s="1033">
        <f t="shared" si="109"/>
        <v>1.999959072781275</v>
      </c>
      <c r="DH91" s="1033">
        <f t="shared" si="109"/>
        <v>1.9998816872678666</v>
      </c>
      <c r="DI91" s="1033">
        <f t="shared" si="109"/>
        <v>1.9997221286357716</v>
      </c>
      <c r="DJ91" s="1033">
        <f t="shared" si="109"/>
        <v>1.9994391563007494</v>
      </c>
      <c r="DK91" s="1033">
        <f t="shared" si="109"/>
        <v>1.9989899946808924</v>
      </c>
      <c r="DL91" s="1033">
        <f t="shared" si="109"/>
        <v>1.9983342975215204</v>
      </c>
      <c r="DM91" s="1033">
        <f t="shared" si="109"/>
        <v>1.997436943606412</v>
      </c>
      <c r="DN91" s="1033">
        <f t="shared" si="109"/>
        <v>1.9962696024451747</v>
      </c>
      <c r="DO91" s="1033">
        <f t="shared" si="109"/>
        <v>1.994811284012037</v>
      </c>
      <c r="DP91" s="1033">
        <f t="shared" si="109"/>
        <v>1.993048167359663</v>
      </c>
      <c r="DQ91" s="1033">
        <f t="shared" si="109"/>
        <v>1.990972981844674</v>
      </c>
      <c r="DR91" s="1033">
        <f t="shared" si="109"/>
        <v>1.9885841553878374</v>
      </c>
      <c r="DS91" s="1071">
        <f t="shared" si="109"/>
        <v>1.9858848804353764</v>
      </c>
      <c r="DU91" s="1070">
        <f aca="true" t="shared" si="110" ref="DU91:EO91">gerf((DU$85+Y.1/2)/(2*(alpha.y*DU$84)^0.5))-gerf((DU$85-Y.1/2)/(2*(alpha.y*DU$84)^0.5))</f>
        <v>2</v>
      </c>
      <c r="DV91" s="1033">
        <f t="shared" si="110"/>
        <v>2</v>
      </c>
      <c r="DW91" s="1033">
        <f t="shared" si="110"/>
        <v>2</v>
      </c>
      <c r="DX91" s="1033">
        <f t="shared" si="110"/>
        <v>1.9999999999930074</v>
      </c>
      <c r="DY91" s="1033">
        <f t="shared" si="110"/>
        <v>1.9999999966015949</v>
      </c>
      <c r="DZ91" s="1033">
        <f t="shared" si="110"/>
        <v>1.9999998576916622</v>
      </c>
      <c r="EA91" s="1033">
        <f t="shared" si="110"/>
        <v>1.999998258119476</v>
      </c>
      <c r="EB91" s="1033">
        <f t="shared" si="110"/>
        <v>1.9999894672784926</v>
      </c>
      <c r="EC91" s="1033">
        <f t="shared" si="110"/>
        <v>1.999959072781275</v>
      </c>
      <c r="ED91" s="1033">
        <f t="shared" si="110"/>
        <v>1.9998816872678666</v>
      </c>
      <c r="EE91" s="1033">
        <f t="shared" si="110"/>
        <v>1.9997221286357716</v>
      </c>
      <c r="EF91" s="1033">
        <f t="shared" si="110"/>
        <v>1.9994391563007494</v>
      </c>
      <c r="EG91" s="1033">
        <f t="shared" si="110"/>
        <v>1.9989899946808924</v>
      </c>
      <c r="EH91" s="1033">
        <f t="shared" si="110"/>
        <v>1.9983342975215204</v>
      </c>
      <c r="EI91" s="1033">
        <f t="shared" si="110"/>
        <v>1.997436943606412</v>
      </c>
      <c r="EJ91" s="1033">
        <f t="shared" si="110"/>
        <v>1.9962696024451747</v>
      </c>
      <c r="EK91" s="1033">
        <f t="shared" si="110"/>
        <v>1.994811284012037</v>
      </c>
      <c r="EL91" s="1033">
        <f t="shared" si="110"/>
        <v>1.993048167359663</v>
      </c>
      <c r="EM91" s="1033">
        <f t="shared" si="110"/>
        <v>1.990972981844674</v>
      </c>
      <c r="EN91" s="1033">
        <f t="shared" si="110"/>
        <v>1.9885841553878374</v>
      </c>
      <c r="EO91" s="1071">
        <f t="shared" si="110"/>
        <v>1.9858848804353764</v>
      </c>
    </row>
    <row r="92" spans="1:145" ht="12.75">
      <c r="A92" s="342"/>
      <c r="B92" s="342"/>
      <c r="C92" s="342"/>
      <c r="D92" s="342"/>
      <c r="E92" s="342"/>
      <c r="F92" s="342"/>
      <c r="G92" s="342"/>
      <c r="H92" s="342"/>
      <c r="I92" s="342"/>
      <c r="J92" s="342"/>
      <c r="K92" s="342"/>
      <c r="L92" s="342"/>
      <c r="M92" s="342"/>
      <c r="N92" s="342"/>
      <c r="O92" s="342"/>
      <c r="P92" s="342"/>
      <c r="Q92" s="342"/>
      <c r="AB92" s="1021" t="s">
        <v>129</v>
      </c>
      <c r="AD92" s="1068">
        <f>IF(AD89&lt;&gt;0,C.1*EXP(-ksource*MAX(0,(t_SWLoad-AD96))),0)*AD84*AD86*AD88*AD89/8</f>
        <v>28.562499641866538</v>
      </c>
      <c r="AJ92" s="1021" t="s">
        <v>51</v>
      </c>
      <c r="AK92" s="1070">
        <f aca="true" t="shared" si="111" ref="AK92:BE92">gerf((AK$85+Y.2/2)/(2*(alpha.y*AK$84)^0.5))-gerf((AK$85-Y.2/2)/(2*(alpha.y*AK$84)^0.5))</f>
        <v>2</v>
      </c>
      <c r="AL92" s="1033">
        <f t="shared" si="111"/>
        <v>1.9999999999990274</v>
      </c>
      <c r="AM92" s="1033">
        <f t="shared" si="111"/>
        <v>1.9999993615417229</v>
      </c>
      <c r="AN92" s="1033">
        <f t="shared" si="111"/>
        <v>1.9999400632522986</v>
      </c>
      <c r="AO92" s="1033">
        <f t="shared" si="111"/>
        <v>1.999398227694964</v>
      </c>
      <c r="AP92" s="1033">
        <f t="shared" si="111"/>
        <v>1.9975495270319872</v>
      </c>
      <c r="AQ92" s="1033">
        <f t="shared" si="111"/>
        <v>1.9936703142185397</v>
      </c>
      <c r="AR92" s="1033">
        <f t="shared" si="111"/>
        <v>1.9874224651466665</v>
      </c>
      <c r="AS92" s="1033">
        <f t="shared" si="111"/>
        <v>1.9788150287230144</v>
      </c>
      <c r="AT92" s="1033">
        <f t="shared" si="111"/>
        <v>1.9680678940967014</v>
      </c>
      <c r="AU92" s="1033">
        <f t="shared" si="111"/>
        <v>1.9554953738768681</v>
      </c>
      <c r="AV92" s="1033">
        <f t="shared" si="111"/>
        <v>1.9414327526058202</v>
      </c>
      <c r="AW92" s="1033">
        <f t="shared" si="111"/>
        <v>1.9261972073082134</v>
      </c>
      <c r="AX92" s="1033">
        <f t="shared" si="111"/>
        <v>1.9100704441988448</v>
      </c>
      <c r="AY92" s="1033">
        <f t="shared" si="111"/>
        <v>1.8932935136088926</v>
      </c>
      <c r="AZ92" s="1033">
        <f t="shared" si="111"/>
        <v>1.87606783106855</v>
      </c>
      <c r="BA92" s="1033">
        <f t="shared" si="111"/>
        <v>1.8585589875598045</v>
      </c>
      <c r="BB92" s="1033">
        <f t="shared" si="111"/>
        <v>1.8409015126874604</v>
      </c>
      <c r="BC92" s="1033">
        <f t="shared" si="111"/>
        <v>1.8232036656361195</v>
      </c>
      <c r="BD92" s="1033">
        <f t="shared" si="111"/>
        <v>1.8055518307618503</v>
      </c>
      <c r="BE92" s="1071">
        <f t="shared" si="111"/>
        <v>1.7880143604650627</v>
      </c>
      <c r="BG92" s="1070">
        <f aca="true" t="shared" si="112" ref="BG92:CA92">gerf((BG$85+Y.2/2)/(2*(alpha.y*BG$84)^0.5))-gerf((BG$85-Y.2/2)/(2*(alpha.y*BG$84)^0.5))</f>
        <v>2</v>
      </c>
      <c r="BH92" s="1033">
        <f t="shared" si="112"/>
        <v>1.9999999999990274</v>
      </c>
      <c r="BI92" s="1033">
        <f t="shared" si="112"/>
        <v>1.9999993615417229</v>
      </c>
      <c r="BJ92" s="1033">
        <f t="shared" si="112"/>
        <v>1.9999400632522986</v>
      </c>
      <c r="BK92" s="1033">
        <f t="shared" si="112"/>
        <v>1.999398227694964</v>
      </c>
      <c r="BL92" s="1033">
        <f t="shared" si="112"/>
        <v>1.9975495270319872</v>
      </c>
      <c r="BM92" s="1033">
        <f t="shared" si="112"/>
        <v>1.9936703142185397</v>
      </c>
      <c r="BN92" s="1033">
        <f t="shared" si="112"/>
        <v>1.9874224651466665</v>
      </c>
      <c r="BO92" s="1033">
        <f t="shared" si="112"/>
        <v>1.9788150287230144</v>
      </c>
      <c r="BP92" s="1033">
        <f t="shared" si="112"/>
        <v>1.9680678940967014</v>
      </c>
      <c r="BQ92" s="1033">
        <f t="shared" si="112"/>
        <v>1.9554953738768681</v>
      </c>
      <c r="BR92" s="1033">
        <f t="shared" si="112"/>
        <v>1.9414327526058202</v>
      </c>
      <c r="BS92" s="1033">
        <f t="shared" si="112"/>
        <v>1.9261972073082134</v>
      </c>
      <c r="BT92" s="1033">
        <f t="shared" si="112"/>
        <v>1.9100704441988448</v>
      </c>
      <c r="BU92" s="1033">
        <f t="shared" si="112"/>
        <v>1.8932935136088926</v>
      </c>
      <c r="BV92" s="1033">
        <f t="shared" si="112"/>
        <v>1.87606783106855</v>
      </c>
      <c r="BW92" s="1033">
        <f t="shared" si="112"/>
        <v>1.8585589875598045</v>
      </c>
      <c r="BX92" s="1033">
        <f t="shared" si="112"/>
        <v>1.8409015126874604</v>
      </c>
      <c r="BY92" s="1033">
        <f t="shared" si="112"/>
        <v>1.8232036656361195</v>
      </c>
      <c r="BZ92" s="1033">
        <f t="shared" si="112"/>
        <v>1.8055518307618503</v>
      </c>
      <c r="CA92" s="1071">
        <f t="shared" si="112"/>
        <v>1.7880143604650627</v>
      </c>
      <c r="CC92" s="1070">
        <f aca="true" t="shared" si="113" ref="CC92:CW92">gerf((CC$85+Y.2/2)/(2*(alpha.y*CC$84)^0.5))-gerf((CC$85-Y.2/2)/(2*(alpha.y*CC$84)^0.5))</f>
        <v>2</v>
      </c>
      <c r="CD92" s="1033">
        <f t="shared" si="113"/>
        <v>1.9999999999990274</v>
      </c>
      <c r="CE92" s="1033">
        <f t="shared" si="113"/>
        <v>1.9999993615417229</v>
      </c>
      <c r="CF92" s="1033">
        <f t="shared" si="113"/>
        <v>1.9999400632522986</v>
      </c>
      <c r="CG92" s="1033">
        <f t="shared" si="113"/>
        <v>1.999398227694964</v>
      </c>
      <c r="CH92" s="1033">
        <f t="shared" si="113"/>
        <v>1.9975495270319872</v>
      </c>
      <c r="CI92" s="1033">
        <f t="shared" si="113"/>
        <v>1.9936703142185397</v>
      </c>
      <c r="CJ92" s="1033">
        <f t="shared" si="113"/>
        <v>1.9874224651466665</v>
      </c>
      <c r="CK92" s="1033">
        <f t="shared" si="113"/>
        <v>1.9788150287230144</v>
      </c>
      <c r="CL92" s="1033">
        <f t="shared" si="113"/>
        <v>1.9680678940967014</v>
      </c>
      <c r="CM92" s="1033">
        <f t="shared" si="113"/>
        <v>1.9554953738768681</v>
      </c>
      <c r="CN92" s="1033">
        <f t="shared" si="113"/>
        <v>1.9414327526058202</v>
      </c>
      <c r="CO92" s="1033">
        <f t="shared" si="113"/>
        <v>1.9261972073082134</v>
      </c>
      <c r="CP92" s="1033">
        <f t="shared" si="113"/>
        <v>1.9100704441988448</v>
      </c>
      <c r="CQ92" s="1033">
        <f t="shared" si="113"/>
        <v>1.8932935136088926</v>
      </c>
      <c r="CR92" s="1033">
        <f t="shared" si="113"/>
        <v>1.87606783106855</v>
      </c>
      <c r="CS92" s="1033">
        <f t="shared" si="113"/>
        <v>1.8585589875598045</v>
      </c>
      <c r="CT92" s="1033">
        <f t="shared" si="113"/>
        <v>1.8409015126874604</v>
      </c>
      <c r="CU92" s="1033">
        <f t="shared" si="113"/>
        <v>1.8232036656361195</v>
      </c>
      <c r="CV92" s="1033">
        <f t="shared" si="113"/>
        <v>1.8055518307618503</v>
      </c>
      <c r="CW92" s="1071">
        <f t="shared" si="113"/>
        <v>1.7880143604650627</v>
      </c>
      <c r="CY92" s="1070">
        <f aca="true" t="shared" si="114" ref="CY92:DS92">gerf((CY$85+Y.2/2)/(2*(alpha.y*CY$84)^0.5))-gerf((CY$85-Y.2/2)/(2*(alpha.y*CY$84)^0.5))</f>
        <v>2</v>
      </c>
      <c r="CZ92" s="1033">
        <f t="shared" si="114"/>
        <v>1.9999999999990274</v>
      </c>
      <c r="DA92" s="1033">
        <f t="shared" si="114"/>
        <v>1.9999993615417229</v>
      </c>
      <c r="DB92" s="1033">
        <f t="shared" si="114"/>
        <v>1.9999400632522986</v>
      </c>
      <c r="DC92" s="1033">
        <f t="shared" si="114"/>
        <v>1.999398227694964</v>
      </c>
      <c r="DD92" s="1033">
        <f t="shared" si="114"/>
        <v>1.9975495270319872</v>
      </c>
      <c r="DE92" s="1033">
        <f t="shared" si="114"/>
        <v>1.9936703142185397</v>
      </c>
      <c r="DF92" s="1033">
        <f t="shared" si="114"/>
        <v>1.9874224651466665</v>
      </c>
      <c r="DG92" s="1033">
        <f t="shared" si="114"/>
        <v>1.9788150287230144</v>
      </c>
      <c r="DH92" s="1033">
        <f t="shared" si="114"/>
        <v>1.9680678940967014</v>
      </c>
      <c r="DI92" s="1033">
        <f t="shared" si="114"/>
        <v>1.9554953738768681</v>
      </c>
      <c r="DJ92" s="1033">
        <f t="shared" si="114"/>
        <v>1.9414327526058202</v>
      </c>
      <c r="DK92" s="1033">
        <f t="shared" si="114"/>
        <v>1.9261972073082134</v>
      </c>
      <c r="DL92" s="1033">
        <f t="shared" si="114"/>
        <v>1.9100704441988448</v>
      </c>
      <c r="DM92" s="1033">
        <f t="shared" si="114"/>
        <v>1.8932935136088926</v>
      </c>
      <c r="DN92" s="1033">
        <f t="shared" si="114"/>
        <v>1.87606783106855</v>
      </c>
      <c r="DO92" s="1033">
        <f t="shared" si="114"/>
        <v>1.8585589875598045</v>
      </c>
      <c r="DP92" s="1033">
        <f t="shared" si="114"/>
        <v>1.8409015126874604</v>
      </c>
      <c r="DQ92" s="1033">
        <f t="shared" si="114"/>
        <v>1.8232036656361195</v>
      </c>
      <c r="DR92" s="1033">
        <f t="shared" si="114"/>
        <v>1.8055518307618503</v>
      </c>
      <c r="DS92" s="1071">
        <f t="shared" si="114"/>
        <v>1.7880143604650627</v>
      </c>
      <c r="DU92" s="1070">
        <f aca="true" t="shared" si="115" ref="DU92:EO92">gerf((DU$85+Y.2/2)/(2*(alpha.y*DU$84)^0.5))-gerf((DU$85-Y.2/2)/(2*(alpha.y*DU$84)^0.5))</f>
        <v>2</v>
      </c>
      <c r="DV92" s="1033">
        <f t="shared" si="115"/>
        <v>1.9999999999990274</v>
      </c>
      <c r="DW92" s="1033">
        <f t="shared" si="115"/>
        <v>1.9999993615417229</v>
      </c>
      <c r="DX92" s="1033">
        <f t="shared" si="115"/>
        <v>1.9999400632522986</v>
      </c>
      <c r="DY92" s="1033">
        <f t="shared" si="115"/>
        <v>1.999398227694964</v>
      </c>
      <c r="DZ92" s="1033">
        <f t="shared" si="115"/>
        <v>1.9975495270319872</v>
      </c>
      <c r="EA92" s="1033">
        <f t="shared" si="115"/>
        <v>1.9936703142185397</v>
      </c>
      <c r="EB92" s="1033">
        <f t="shared" si="115"/>
        <v>1.9874224651466665</v>
      </c>
      <c r="EC92" s="1033">
        <f t="shared" si="115"/>
        <v>1.9788150287230144</v>
      </c>
      <c r="ED92" s="1033">
        <f t="shared" si="115"/>
        <v>1.9680678940967014</v>
      </c>
      <c r="EE92" s="1033">
        <f t="shared" si="115"/>
        <v>1.9554953738768681</v>
      </c>
      <c r="EF92" s="1033">
        <f t="shared" si="115"/>
        <v>1.9414327526058202</v>
      </c>
      <c r="EG92" s="1033">
        <f t="shared" si="115"/>
        <v>1.9261972073082134</v>
      </c>
      <c r="EH92" s="1033">
        <f t="shared" si="115"/>
        <v>1.9100704441988448</v>
      </c>
      <c r="EI92" s="1033">
        <f t="shared" si="115"/>
        <v>1.8932935136088926</v>
      </c>
      <c r="EJ92" s="1033">
        <f t="shared" si="115"/>
        <v>1.87606783106855</v>
      </c>
      <c r="EK92" s="1033">
        <f t="shared" si="115"/>
        <v>1.8585589875598045</v>
      </c>
      <c r="EL92" s="1033">
        <f t="shared" si="115"/>
        <v>1.8409015126874604</v>
      </c>
      <c r="EM92" s="1033">
        <f t="shared" si="115"/>
        <v>1.8232036656361195</v>
      </c>
      <c r="EN92" s="1033">
        <f t="shared" si="115"/>
        <v>1.8055518307618503</v>
      </c>
      <c r="EO92" s="1071">
        <f t="shared" si="115"/>
        <v>1.7880143604650627</v>
      </c>
    </row>
    <row r="93" spans="28:145" ht="12.75">
      <c r="AB93" s="1021" t="s">
        <v>130</v>
      </c>
      <c r="AD93" s="1068">
        <f>IF(AD90&lt;&gt;0,C.2*EXP(-ksource*MAX(0,(t_SWLoad-AD96))),0)*AD84*AD86*AD88*AD90/8</f>
        <v>1807.2562762055345</v>
      </c>
      <c r="AJ93" s="1021" t="s">
        <v>57</v>
      </c>
      <c r="AK93" s="1070">
        <f aca="true" t="shared" si="116" ref="AK93:BE93">gerf((AK$85+Y.3/2)/(2*(alpha.y*AK$84)^0.5))-gerf((AK$85-Y.3/2)/(2*(alpha.y*AK$84)^0.5))</f>
        <v>2</v>
      </c>
      <c r="AL93" s="1033">
        <f t="shared" si="116"/>
        <v>1.999997119916492</v>
      </c>
      <c r="AM93" s="1033">
        <f t="shared" si="116"/>
        <v>1.9986903045779891</v>
      </c>
      <c r="AN93" s="1033">
        <f t="shared" si="116"/>
        <v>1.9892106638513891</v>
      </c>
      <c r="AO93" s="1033">
        <f t="shared" si="116"/>
        <v>1.9680678940963352</v>
      </c>
      <c r="AP93" s="1033">
        <f t="shared" si="116"/>
        <v>1.9377221469595707</v>
      </c>
      <c r="AQ93" s="1033">
        <f t="shared" si="116"/>
        <v>1.9017497691998382</v>
      </c>
      <c r="AR93" s="1033">
        <f t="shared" si="116"/>
        <v>1.8629549028555694</v>
      </c>
      <c r="AS93" s="1033">
        <f t="shared" si="116"/>
        <v>1.8232036656355668</v>
      </c>
      <c r="AT93" s="1033">
        <f t="shared" si="116"/>
        <v>1.7836544254698576</v>
      </c>
      <c r="AU93" s="1033">
        <f t="shared" si="116"/>
        <v>1.7449936424918158</v>
      </c>
      <c r="AV93" s="1033">
        <f t="shared" si="116"/>
        <v>1.7076069587732514</v>
      </c>
      <c r="AW93" s="1033">
        <f t="shared" si="116"/>
        <v>1.6716919457747308</v>
      </c>
      <c r="AX93" s="1033">
        <f t="shared" si="116"/>
        <v>1.6373299811909314</v>
      </c>
      <c r="AY93" s="1033">
        <f t="shared" si="116"/>
        <v>1.6045315840831833</v>
      </c>
      <c r="AZ93" s="1033">
        <f t="shared" si="116"/>
        <v>1.573264948884871</v>
      </c>
      <c r="BA93" s="1033">
        <f t="shared" si="116"/>
        <v>1.5434739114803842</v>
      </c>
      <c r="BB93" s="1033">
        <f t="shared" si="116"/>
        <v>1.5150892567895178</v>
      </c>
      <c r="BC93" s="1033">
        <f t="shared" si="116"/>
        <v>1.488035810773046</v>
      </c>
      <c r="BD93" s="1033">
        <f t="shared" si="116"/>
        <v>1.462236848836465</v>
      </c>
      <c r="BE93" s="1071">
        <f t="shared" si="116"/>
        <v>1.4376167878292685</v>
      </c>
      <c r="BG93" s="1070">
        <f aca="true" t="shared" si="117" ref="BG93:CA93">gerf((BG$85+Y.3/2)/(2*(alpha.y*BG$84)^0.5))-gerf((BG$85-Y.3/2)/(2*(alpha.y*BG$84)^0.5))</f>
        <v>2</v>
      </c>
      <c r="BH93" s="1033">
        <f t="shared" si="117"/>
        <v>1.999997119916492</v>
      </c>
      <c r="BI93" s="1033">
        <f t="shared" si="117"/>
        <v>1.9986903045779891</v>
      </c>
      <c r="BJ93" s="1033">
        <f t="shared" si="117"/>
        <v>1.9892106638513891</v>
      </c>
      <c r="BK93" s="1033">
        <f t="shared" si="117"/>
        <v>1.9680678940963352</v>
      </c>
      <c r="BL93" s="1033">
        <f t="shared" si="117"/>
        <v>1.9377221469595707</v>
      </c>
      <c r="BM93" s="1033">
        <f t="shared" si="117"/>
        <v>1.9017497691998382</v>
      </c>
      <c r="BN93" s="1033">
        <f t="shared" si="117"/>
        <v>1.8629549028555694</v>
      </c>
      <c r="BO93" s="1033">
        <f t="shared" si="117"/>
        <v>1.8232036656355668</v>
      </c>
      <c r="BP93" s="1033">
        <f t="shared" si="117"/>
        <v>1.7836544254698576</v>
      </c>
      <c r="BQ93" s="1033">
        <f t="shared" si="117"/>
        <v>1.7449936424918158</v>
      </c>
      <c r="BR93" s="1033">
        <f t="shared" si="117"/>
        <v>1.7076069587732514</v>
      </c>
      <c r="BS93" s="1033">
        <f t="shared" si="117"/>
        <v>1.6716919457747308</v>
      </c>
      <c r="BT93" s="1033">
        <f t="shared" si="117"/>
        <v>1.6373299811909314</v>
      </c>
      <c r="BU93" s="1033">
        <f t="shared" si="117"/>
        <v>1.6045315840831833</v>
      </c>
      <c r="BV93" s="1033">
        <f t="shared" si="117"/>
        <v>1.573264948884871</v>
      </c>
      <c r="BW93" s="1033">
        <f t="shared" si="117"/>
        <v>1.5434739114803842</v>
      </c>
      <c r="BX93" s="1033">
        <f t="shared" si="117"/>
        <v>1.5150892567895178</v>
      </c>
      <c r="BY93" s="1033">
        <f t="shared" si="117"/>
        <v>1.488035810773046</v>
      </c>
      <c r="BZ93" s="1033">
        <f t="shared" si="117"/>
        <v>1.462236848836465</v>
      </c>
      <c r="CA93" s="1071">
        <f t="shared" si="117"/>
        <v>1.4376167878292685</v>
      </c>
      <c r="CC93" s="1070">
        <f aca="true" t="shared" si="118" ref="CC93:CW93">gerf((CC$85+Y.3/2)/(2*(alpha.y*CC$84)^0.5))-gerf((CC$85-Y.3/2)/(2*(alpha.y*CC$84)^0.5))</f>
        <v>2</v>
      </c>
      <c r="CD93" s="1033">
        <f t="shared" si="118"/>
        <v>1.999997119916492</v>
      </c>
      <c r="CE93" s="1033">
        <f t="shared" si="118"/>
        <v>1.9986903045779891</v>
      </c>
      <c r="CF93" s="1033">
        <f t="shared" si="118"/>
        <v>1.9892106638513891</v>
      </c>
      <c r="CG93" s="1033">
        <f t="shared" si="118"/>
        <v>1.9680678940963352</v>
      </c>
      <c r="CH93" s="1033">
        <f t="shared" si="118"/>
        <v>1.9377221469595707</v>
      </c>
      <c r="CI93" s="1033">
        <f t="shared" si="118"/>
        <v>1.9017497691998382</v>
      </c>
      <c r="CJ93" s="1033">
        <f t="shared" si="118"/>
        <v>1.8629549028555694</v>
      </c>
      <c r="CK93" s="1033">
        <f t="shared" si="118"/>
        <v>1.8232036656355668</v>
      </c>
      <c r="CL93" s="1033">
        <f t="shared" si="118"/>
        <v>1.7836544254698576</v>
      </c>
      <c r="CM93" s="1033">
        <f t="shared" si="118"/>
        <v>1.7449936424918158</v>
      </c>
      <c r="CN93" s="1033">
        <f t="shared" si="118"/>
        <v>1.7076069587732514</v>
      </c>
      <c r="CO93" s="1033">
        <f t="shared" si="118"/>
        <v>1.6716919457747308</v>
      </c>
      <c r="CP93" s="1033">
        <f t="shared" si="118"/>
        <v>1.6373299811909314</v>
      </c>
      <c r="CQ93" s="1033">
        <f t="shared" si="118"/>
        <v>1.6045315840831833</v>
      </c>
      <c r="CR93" s="1033">
        <f t="shared" si="118"/>
        <v>1.573264948884871</v>
      </c>
      <c r="CS93" s="1033">
        <f t="shared" si="118"/>
        <v>1.5434739114803842</v>
      </c>
      <c r="CT93" s="1033">
        <f t="shared" si="118"/>
        <v>1.5150892567895178</v>
      </c>
      <c r="CU93" s="1033">
        <f t="shared" si="118"/>
        <v>1.488035810773046</v>
      </c>
      <c r="CV93" s="1033">
        <f t="shared" si="118"/>
        <v>1.462236848836465</v>
      </c>
      <c r="CW93" s="1071">
        <f t="shared" si="118"/>
        <v>1.4376167878292685</v>
      </c>
      <c r="CY93" s="1070">
        <f aca="true" t="shared" si="119" ref="CY93:DS93">gerf((CY$85+Y.3/2)/(2*(alpha.y*CY$84)^0.5))-gerf((CY$85-Y.3/2)/(2*(alpha.y*CY$84)^0.5))</f>
        <v>2</v>
      </c>
      <c r="CZ93" s="1033">
        <f t="shared" si="119"/>
        <v>1.999997119916492</v>
      </c>
      <c r="DA93" s="1033">
        <f t="shared" si="119"/>
        <v>1.9986903045779891</v>
      </c>
      <c r="DB93" s="1033">
        <f t="shared" si="119"/>
        <v>1.9892106638513891</v>
      </c>
      <c r="DC93" s="1033">
        <f t="shared" si="119"/>
        <v>1.9680678940963352</v>
      </c>
      <c r="DD93" s="1033">
        <f t="shared" si="119"/>
        <v>1.9377221469595707</v>
      </c>
      <c r="DE93" s="1033">
        <f t="shared" si="119"/>
        <v>1.9017497691998382</v>
      </c>
      <c r="DF93" s="1033">
        <f t="shared" si="119"/>
        <v>1.8629549028555694</v>
      </c>
      <c r="DG93" s="1033">
        <f t="shared" si="119"/>
        <v>1.8232036656355668</v>
      </c>
      <c r="DH93" s="1033">
        <f t="shared" si="119"/>
        <v>1.7836544254698576</v>
      </c>
      <c r="DI93" s="1033">
        <f t="shared" si="119"/>
        <v>1.7449936424918158</v>
      </c>
      <c r="DJ93" s="1033">
        <f t="shared" si="119"/>
        <v>1.7076069587732514</v>
      </c>
      <c r="DK93" s="1033">
        <f t="shared" si="119"/>
        <v>1.6716919457747308</v>
      </c>
      <c r="DL93" s="1033">
        <f t="shared" si="119"/>
        <v>1.6373299811909314</v>
      </c>
      <c r="DM93" s="1033">
        <f t="shared" si="119"/>
        <v>1.6045315840831833</v>
      </c>
      <c r="DN93" s="1033">
        <f t="shared" si="119"/>
        <v>1.573264948884871</v>
      </c>
      <c r="DO93" s="1033">
        <f t="shared" si="119"/>
        <v>1.5434739114803842</v>
      </c>
      <c r="DP93" s="1033">
        <f t="shared" si="119"/>
        <v>1.5150892567895178</v>
      </c>
      <c r="DQ93" s="1033">
        <f t="shared" si="119"/>
        <v>1.488035810773046</v>
      </c>
      <c r="DR93" s="1033">
        <f t="shared" si="119"/>
        <v>1.462236848836465</v>
      </c>
      <c r="DS93" s="1071">
        <f t="shared" si="119"/>
        <v>1.4376167878292685</v>
      </c>
      <c r="DU93" s="1070">
        <f aca="true" t="shared" si="120" ref="DU93:EO93">gerf((DU$85+Y.3/2)/(2*(alpha.y*DU$84)^0.5))-gerf((DU$85-Y.3/2)/(2*(alpha.y*DU$84)^0.5))</f>
        <v>2</v>
      </c>
      <c r="DV93" s="1033">
        <f t="shared" si="120"/>
        <v>1.999997119916492</v>
      </c>
      <c r="DW93" s="1033">
        <f t="shared" si="120"/>
        <v>1.9986903045779891</v>
      </c>
      <c r="DX93" s="1033">
        <f t="shared" si="120"/>
        <v>1.9892106638513891</v>
      </c>
      <c r="DY93" s="1033">
        <f t="shared" si="120"/>
        <v>1.9680678940963352</v>
      </c>
      <c r="DZ93" s="1033">
        <f t="shared" si="120"/>
        <v>1.9377221469595707</v>
      </c>
      <c r="EA93" s="1033">
        <f t="shared" si="120"/>
        <v>1.9017497691998382</v>
      </c>
      <c r="EB93" s="1033">
        <f t="shared" si="120"/>
        <v>1.8629549028555694</v>
      </c>
      <c r="EC93" s="1033">
        <f t="shared" si="120"/>
        <v>1.8232036656355668</v>
      </c>
      <c r="ED93" s="1033">
        <f t="shared" si="120"/>
        <v>1.7836544254698576</v>
      </c>
      <c r="EE93" s="1033">
        <f t="shared" si="120"/>
        <v>1.7449936424918158</v>
      </c>
      <c r="EF93" s="1033">
        <f t="shared" si="120"/>
        <v>1.7076069587732514</v>
      </c>
      <c r="EG93" s="1033">
        <f t="shared" si="120"/>
        <v>1.6716919457747308</v>
      </c>
      <c r="EH93" s="1033">
        <f t="shared" si="120"/>
        <v>1.6373299811909314</v>
      </c>
      <c r="EI93" s="1033">
        <f t="shared" si="120"/>
        <v>1.6045315840831833</v>
      </c>
      <c r="EJ93" s="1033">
        <f t="shared" si="120"/>
        <v>1.573264948884871</v>
      </c>
      <c r="EK93" s="1033">
        <f t="shared" si="120"/>
        <v>1.5434739114803842</v>
      </c>
      <c r="EL93" s="1033">
        <f t="shared" si="120"/>
        <v>1.5150892567895178</v>
      </c>
      <c r="EM93" s="1033">
        <f t="shared" si="120"/>
        <v>1.488035810773046</v>
      </c>
      <c r="EN93" s="1033">
        <f t="shared" si="120"/>
        <v>1.462236848836465</v>
      </c>
      <c r="EO93" s="1071">
        <f t="shared" si="120"/>
        <v>1.4376167878292685</v>
      </c>
    </row>
    <row r="94" spans="28:145" ht="12.75">
      <c r="AB94" s="1021" t="s">
        <v>131</v>
      </c>
      <c r="AD94" s="1068">
        <f>IF(AD91&lt;&gt;0,C.3*EXP(-ksource*MAX(0,(t_SWLoad-AD96))),0)*AD84*AD86*AD88*AD91/8</f>
        <v>1812.6202501142807</v>
      </c>
      <c r="AJ94" s="1021" t="s">
        <v>129</v>
      </c>
      <c r="AK94" s="1072">
        <f aca="true" t="shared" si="121" ref="AK94:BE94">IF(AK91&lt;&gt;0,C.1*EXP(-ksource*MAX(0,(AK83-AK$98))),0)*AK$86*AK$88*AK$90*AK91/8</f>
        <v>57.9913640081061</v>
      </c>
      <c r="AL94" s="1048">
        <f t="shared" si="121"/>
        <v>58.218432249256175</v>
      </c>
      <c r="AM94" s="1048">
        <f t="shared" si="121"/>
        <v>53.01901281167666</v>
      </c>
      <c r="AN94" s="1048">
        <f t="shared" si="121"/>
        <v>40.318724006981235</v>
      </c>
      <c r="AO94" s="1048">
        <f t="shared" si="121"/>
        <v>22.80340388847914</v>
      </c>
      <c r="AP94" s="1048">
        <f t="shared" si="121"/>
        <v>9.190264707694649</v>
      </c>
      <c r="AQ94" s="1048">
        <f t="shared" si="121"/>
        <v>2.5765771734791105</v>
      </c>
      <c r="AR94" s="1048">
        <f t="shared" si="121"/>
        <v>0.4894538775804055</v>
      </c>
      <c r="AS94" s="1048">
        <f t="shared" si="121"/>
        <v>0.06194868798038508</v>
      </c>
      <c r="AT94" s="1048">
        <f t="shared" si="121"/>
        <v>0.0051670543678879076</v>
      </c>
      <c r="AU94" s="1048">
        <f t="shared" si="121"/>
        <v>0.0002819335395928474</v>
      </c>
      <c r="AV94" s="1048">
        <f t="shared" si="121"/>
        <v>1.0012143313304143E-05</v>
      </c>
      <c r="AW94" s="1048">
        <f t="shared" si="121"/>
        <v>2.305693645506024E-07</v>
      </c>
      <c r="AX94" s="1048">
        <f t="shared" si="121"/>
        <v>3.4340754984218263E-09</v>
      </c>
      <c r="AY94" s="1048">
        <f t="shared" si="121"/>
        <v>3.30139728207441E-11</v>
      </c>
      <c r="AZ94" s="1048">
        <f t="shared" si="121"/>
        <v>2.0556224014843799E-13</v>
      </c>
      <c r="BA94" s="1048">
        <f t="shared" si="121"/>
        <v>0</v>
      </c>
      <c r="BB94" s="1048">
        <f t="shared" si="121"/>
        <v>0</v>
      </c>
      <c r="BC94" s="1048">
        <f t="shared" si="121"/>
        <v>0</v>
      </c>
      <c r="BD94" s="1048">
        <f t="shared" si="121"/>
        <v>0</v>
      </c>
      <c r="BE94" s="1073">
        <f t="shared" si="121"/>
        <v>0</v>
      </c>
      <c r="BG94" s="1072">
        <f aca="true" t="shared" si="122" ref="BG94:CA94">IF(BG91&lt;&gt;0,C.1*EXP(-ksource*MAX(0,(BG83-BG$98))),0)*BG$86*BG$88*BG$90*BG91/8</f>
        <v>49.28623368069808</v>
      </c>
      <c r="BH94" s="1048">
        <f t="shared" si="122"/>
        <v>51.79697420985184</v>
      </c>
      <c r="BI94" s="1048">
        <f t="shared" si="122"/>
        <v>54.0384260513245</v>
      </c>
      <c r="BJ94" s="1048">
        <f t="shared" si="122"/>
        <v>55.32671310282483</v>
      </c>
      <c r="BK94" s="1048">
        <f t="shared" si="122"/>
        <v>54.484098488093295</v>
      </c>
      <c r="BL94" s="1048">
        <f t="shared" si="122"/>
        <v>50.2031448453107</v>
      </c>
      <c r="BM94" s="1048">
        <f t="shared" si="122"/>
        <v>41.97920664865368</v>
      </c>
      <c r="BN94" s="1048">
        <f t="shared" si="122"/>
        <v>30.388165413333276</v>
      </c>
      <c r="BO94" s="1048">
        <f t="shared" si="122"/>
        <v>18.30479562153382</v>
      </c>
      <c r="BP94" s="1048">
        <f t="shared" si="122"/>
        <v>9.321157198549281</v>
      </c>
      <c r="BQ94" s="1048">
        <f t="shared" si="122"/>
        <v>3.958311651812946</v>
      </c>
      <c r="BR94" s="1048">
        <f t="shared" si="122"/>
        <v>1.3879901175456302</v>
      </c>
      <c r="BS94" s="1048">
        <f t="shared" si="122"/>
        <v>0.3990027165974632</v>
      </c>
      <c r="BT94" s="1048">
        <f t="shared" si="122"/>
        <v>0.09353886122623126</v>
      </c>
      <c r="BU94" s="1048">
        <f t="shared" si="122"/>
        <v>0.017813139010891314</v>
      </c>
      <c r="BV94" s="1048">
        <f t="shared" si="122"/>
        <v>0.002747556394168911</v>
      </c>
      <c r="BW94" s="1048">
        <f t="shared" si="122"/>
        <v>0.0003424818864016069</v>
      </c>
      <c r="BX94" s="1048">
        <f t="shared" si="122"/>
        <v>3.4439713496404056E-05</v>
      </c>
      <c r="BY94" s="1048">
        <f t="shared" si="122"/>
        <v>2.7901010200284388E-06</v>
      </c>
      <c r="BZ94" s="1048">
        <f t="shared" si="122"/>
        <v>1.8190601283796546E-07</v>
      </c>
      <c r="CA94" s="1073">
        <f t="shared" si="122"/>
        <v>9.53587782583035E-09</v>
      </c>
      <c r="CC94" s="1072">
        <f aca="true" t="shared" si="123" ref="CC94:CW94">IF(CC91&lt;&gt;0,C.1*EXP(-ksource*MAX(0,(CC83-CC$98))),0)*CC$86*CC$88*CC$90*CC91/8</f>
        <v>41.4054141067057</v>
      </c>
      <c r="CD94" s="1048">
        <f t="shared" si="123"/>
        <v>43.63439576472781</v>
      </c>
      <c r="CE94" s="1048">
        <f t="shared" si="123"/>
        <v>45.95722096950332</v>
      </c>
      <c r="CF94" s="1048">
        <f t="shared" si="123"/>
        <v>48.31965783105062</v>
      </c>
      <c r="CG94" s="1048">
        <f t="shared" si="123"/>
        <v>50.57353281495527</v>
      </c>
      <c r="CH94" s="1048">
        <f t="shared" si="123"/>
        <v>52.39818502432124</v>
      </c>
      <c r="CI94" s="1048">
        <f t="shared" si="123"/>
        <v>53.23794819008216</v>
      </c>
      <c r="CJ94" s="1048">
        <f t="shared" si="123"/>
        <v>52.34581540815144</v>
      </c>
      <c r="CK94" s="1048">
        <f t="shared" si="123"/>
        <v>49.01910519322868</v>
      </c>
      <c r="CL94" s="1048">
        <f t="shared" si="123"/>
        <v>42.99172474743688</v>
      </c>
      <c r="CM94" s="1048">
        <f t="shared" si="123"/>
        <v>34.711662703859524</v>
      </c>
      <c r="CN94" s="1048">
        <f t="shared" si="123"/>
        <v>24.211437530031823</v>
      </c>
      <c r="CO94" s="1048">
        <f t="shared" si="123"/>
        <v>15.184296601219748</v>
      </c>
      <c r="CP94" s="1048">
        <f t="shared" si="123"/>
        <v>8.486535551241698</v>
      </c>
      <c r="CQ94" s="1048">
        <f t="shared" si="123"/>
        <v>4.197843722289649</v>
      </c>
      <c r="CR94" s="1048">
        <f t="shared" si="123"/>
        <v>1.8279820049902398</v>
      </c>
      <c r="CS94" s="1048">
        <f t="shared" si="123"/>
        <v>0.6978948570676095</v>
      </c>
      <c r="CT94" s="1048">
        <f t="shared" si="123"/>
        <v>0.23286648577781022</v>
      </c>
      <c r="CU94" s="1048">
        <f t="shared" si="123"/>
        <v>0.06774130916793591</v>
      </c>
      <c r="CV94" s="1048">
        <f t="shared" si="123"/>
        <v>0.017147063410653772</v>
      </c>
      <c r="CW94" s="1073">
        <f t="shared" si="123"/>
        <v>0.003770935051585842</v>
      </c>
      <c r="CY94" s="1072">
        <f aca="true" t="shared" si="124" ref="CY94:DS94">IF(CY91&lt;&gt;0,C.1*EXP(-ksource*MAX(0,(CY83-CY$98))),0)*CY$86*CY$88*CY$90*CY91/8</f>
        <v>34.759677399367945</v>
      </c>
      <c r="CZ94" s="1048">
        <f t="shared" si="124"/>
        <v>36.63791586506574</v>
      </c>
      <c r="DA94" s="1048">
        <f t="shared" si="124"/>
        <v>38.61593267074106</v>
      </c>
      <c r="DB94" s="1048">
        <f t="shared" si="124"/>
        <v>40.6946846933636</v>
      </c>
      <c r="DC94" s="1048">
        <f t="shared" si="124"/>
        <v>42.86630722103101</v>
      </c>
      <c r="DD94" s="1048">
        <f t="shared" si="124"/>
        <v>45.10070670738113</v>
      </c>
      <c r="DE94" s="1048">
        <f t="shared" si="124"/>
        <v>47.3202236433707</v>
      </c>
      <c r="DF94" s="1048">
        <f t="shared" si="124"/>
        <v>49.36161116304393</v>
      </c>
      <c r="DG94" s="1048">
        <f t="shared" si="124"/>
        <v>50.93609348930413</v>
      </c>
      <c r="DH94" s="1048">
        <f t="shared" si="124"/>
        <v>51.61601815818796</v>
      </c>
      <c r="DI94" s="1048">
        <f t="shared" si="124"/>
        <v>50.88781836812838</v>
      </c>
      <c r="DJ94" s="1048">
        <f t="shared" si="124"/>
        <v>48.29488064928357</v>
      </c>
      <c r="DK94" s="1048">
        <f t="shared" si="124"/>
        <v>43.640996718506614</v>
      </c>
      <c r="DL94" s="1048">
        <f t="shared" si="124"/>
        <v>37.16069958943449</v>
      </c>
      <c r="DM94" s="1048">
        <f t="shared" si="124"/>
        <v>28.471258299749323</v>
      </c>
      <c r="DN94" s="1048">
        <f t="shared" si="124"/>
        <v>19.891468575407853</v>
      </c>
      <c r="DO94" s="1048">
        <f t="shared" si="124"/>
        <v>12.789810027772027</v>
      </c>
      <c r="DP94" s="1048">
        <f t="shared" si="124"/>
        <v>7.528691588587397</v>
      </c>
      <c r="DQ94" s="1048">
        <f t="shared" si="124"/>
        <v>4.040277318699372</v>
      </c>
      <c r="DR94" s="1048">
        <f t="shared" si="124"/>
        <v>1.970102646966393</v>
      </c>
      <c r="DS94" s="1073">
        <f t="shared" si="124"/>
        <v>0.8705580890846506</v>
      </c>
      <c r="DU94" s="1072">
        <f aca="true" t="shared" si="125" ref="DU94:EO94">IF(DU91&lt;&gt;0,C.1*EXP(-ksource*MAX(0,(DU83-DU$98))),0)*DU$86*DU$88*DU$90*DU91/8</f>
        <v>29.179133451937464</v>
      </c>
      <c r="DV94" s="1048">
        <f t="shared" si="125"/>
        <v>30.756261042000162</v>
      </c>
      <c r="DW94" s="1048">
        <f t="shared" si="125"/>
        <v>32.4185192765501</v>
      </c>
      <c r="DX94" s="1048">
        <f t="shared" si="125"/>
        <v>34.17019399347739</v>
      </c>
      <c r="DY94" s="1048">
        <f t="shared" si="125"/>
        <v>36.01507766673266</v>
      </c>
      <c r="DZ94" s="1048">
        <f t="shared" si="125"/>
        <v>37.95509662599724</v>
      </c>
      <c r="EA94" s="1048">
        <f t="shared" si="125"/>
        <v>39.98696322438087</v>
      </c>
      <c r="EB94" s="1048">
        <f t="shared" si="125"/>
        <v>42.09503006031273</v>
      </c>
      <c r="EC94" s="1048">
        <f t="shared" si="125"/>
        <v>44.238172164174266</v>
      </c>
      <c r="ED94" s="1048">
        <f t="shared" si="125"/>
        <v>46.32958687017107</v>
      </c>
      <c r="EE94" s="1048">
        <f t="shared" si="125"/>
        <v>48.21217618845367</v>
      </c>
      <c r="EF94" s="1048">
        <f t="shared" si="125"/>
        <v>49.639056774045414</v>
      </c>
      <c r="EG94" s="1048">
        <f t="shared" si="125"/>
        <v>50.27615545059852</v>
      </c>
      <c r="EH94" s="1048">
        <f t="shared" si="125"/>
        <v>49.74540606517862</v>
      </c>
      <c r="EI94" s="1048">
        <f t="shared" si="125"/>
        <v>47.71562576270038</v>
      </c>
      <c r="EJ94" s="1048">
        <f t="shared" si="125"/>
        <v>44.02290774515206</v>
      </c>
      <c r="EK94" s="1048">
        <f t="shared" si="125"/>
        <v>38.774787438954625</v>
      </c>
      <c r="EL94" s="1048">
        <f t="shared" si="125"/>
        <v>31.746254890743895</v>
      </c>
      <c r="EM94" s="1048">
        <f t="shared" si="125"/>
        <v>23.70884057297855</v>
      </c>
      <c r="EN94" s="1048">
        <f t="shared" si="125"/>
        <v>16.605529234029945</v>
      </c>
      <c r="EO94" s="1073">
        <f t="shared" si="125"/>
        <v>10.861718875508014</v>
      </c>
    </row>
    <row r="95" spans="28:145" ht="12.75">
      <c r="AB95" s="1021"/>
      <c r="AD95" s="1069"/>
      <c r="AJ95" s="1021" t="s">
        <v>130</v>
      </c>
      <c r="AK95" s="1072">
        <f aca="true" t="shared" si="126" ref="AK95:BE95">IF(AK92&lt;&gt;0,C.2*EXP(-ksource*MAX(0,(AK83-AK$98))),0)*AK$86*AK$88*AK$90*AK92/8</f>
        <v>3670.024893655858</v>
      </c>
      <c r="AL95" s="1048">
        <f t="shared" si="126"/>
        <v>3684.395069486849</v>
      </c>
      <c r="AM95" s="1048">
        <f t="shared" si="126"/>
        <v>3355.34502538615</v>
      </c>
      <c r="AN95" s="1048">
        <f t="shared" si="126"/>
        <v>2551.5227805991276</v>
      </c>
      <c r="AO95" s="1048">
        <f t="shared" si="126"/>
        <v>1442.69548793548</v>
      </c>
      <c r="AP95" s="1048">
        <f t="shared" si="126"/>
        <v>580.8998950211861</v>
      </c>
      <c r="AQ95" s="1048">
        <f t="shared" si="126"/>
        <v>162.54460745341999</v>
      </c>
      <c r="AR95" s="1048">
        <f t="shared" si="126"/>
        <v>30.78080302829195</v>
      </c>
      <c r="AS95" s="1048">
        <f t="shared" si="126"/>
        <v>3.8790188565744215</v>
      </c>
      <c r="AT95" s="1048">
        <f t="shared" si="126"/>
        <v>0.3217988519622648</v>
      </c>
      <c r="AU95" s="1048">
        <f t="shared" si="126"/>
        <v>0.01744775564866405</v>
      </c>
      <c r="AV95" s="1048">
        <f t="shared" si="126"/>
        <v>0.0006152433139422641</v>
      </c>
      <c r="AW95" s="1048">
        <f t="shared" si="126"/>
        <v>1.4060391626385154E-05</v>
      </c>
      <c r="AX95" s="1048">
        <f t="shared" si="126"/>
        <v>2.077288263474883E-07</v>
      </c>
      <c r="AY95" s="1048">
        <f t="shared" si="126"/>
        <v>1.9803791464156857E-09</v>
      </c>
      <c r="AZ95" s="1048">
        <f t="shared" si="126"/>
        <v>1.2225830516204429E-11</v>
      </c>
      <c r="BA95" s="1048">
        <f t="shared" si="126"/>
        <v>0</v>
      </c>
      <c r="BB95" s="1048">
        <f t="shared" si="126"/>
        <v>0</v>
      </c>
      <c r="BC95" s="1048">
        <f t="shared" si="126"/>
        <v>0</v>
      </c>
      <c r="BD95" s="1048">
        <f t="shared" si="126"/>
        <v>0</v>
      </c>
      <c r="BE95" s="1073">
        <f t="shared" si="126"/>
        <v>0</v>
      </c>
      <c r="BG95" s="1072">
        <f aca="true" t="shared" si="127" ref="BG95:CA95">IF(BG92&lt;&gt;0,C.2*EXP(-ksource*MAX(0,(BG83-BG$98))),0)*BG$86*BG$88*BG$90*BG92/8</f>
        <v>3119.114502935607</v>
      </c>
      <c r="BH95" s="1048">
        <f t="shared" si="127"/>
        <v>3278.008510707601</v>
      </c>
      <c r="BI95" s="1048">
        <f t="shared" si="127"/>
        <v>3419.8592998147356</v>
      </c>
      <c r="BJ95" s="1048">
        <f t="shared" si="127"/>
        <v>3501.2856268240653</v>
      </c>
      <c r="BK95" s="1048">
        <f t="shared" si="127"/>
        <v>3447.0276208508167</v>
      </c>
      <c r="BL95" s="1048">
        <f t="shared" si="127"/>
        <v>3173.2493565672103</v>
      </c>
      <c r="BM95" s="1048">
        <f t="shared" si="127"/>
        <v>2648.2783966830525</v>
      </c>
      <c r="BN95" s="1048">
        <f t="shared" si="127"/>
        <v>1911.0526585322768</v>
      </c>
      <c r="BO95" s="1048">
        <f t="shared" si="127"/>
        <v>1146.1848458219633</v>
      </c>
      <c r="BP95" s="1048">
        <f t="shared" si="127"/>
        <v>580.5121200377566</v>
      </c>
      <c r="BQ95" s="1048">
        <f t="shared" si="127"/>
        <v>244.96430819061084</v>
      </c>
      <c r="BR95" s="1048">
        <f t="shared" si="127"/>
        <v>85.29159171175215</v>
      </c>
      <c r="BS95" s="1048">
        <f t="shared" si="127"/>
        <v>24.331655969501796</v>
      </c>
      <c r="BT95" s="1048">
        <f t="shared" si="127"/>
        <v>5.658209282042645</v>
      </c>
      <c r="BU95" s="1048">
        <f t="shared" si="127"/>
        <v>1.0685405607169758</v>
      </c>
      <c r="BV95" s="1048">
        <f t="shared" si="127"/>
        <v>0.163411134187711</v>
      </c>
      <c r="BW95" s="1048">
        <f t="shared" si="127"/>
        <v>0.020193789569779647</v>
      </c>
      <c r="BX95" s="1048">
        <f t="shared" si="127"/>
        <v>0.0020131585318616603</v>
      </c>
      <c r="BY95" s="1048">
        <f t="shared" si="127"/>
        <v>0.00016169456893286156</v>
      </c>
      <c r="BZ95" s="1048">
        <f t="shared" si="127"/>
        <v>1.0452465100575145E-05</v>
      </c>
      <c r="CA95" s="1073">
        <f t="shared" si="127"/>
        <v>5.433545368450374E-07</v>
      </c>
      <c r="CC95" s="1072">
        <f aca="true" t="shared" si="128" ref="CC95:CW95">IF(CC92&lt;&gt;0,C.2*EXP(-ksource*MAX(0,(CC83-CC$98))),0)*CC$86*CC$88*CC$90*CC92/8</f>
        <v>2620.371207038661</v>
      </c>
      <c r="CD95" s="1048">
        <f t="shared" si="128"/>
        <v>2761.4339033950027</v>
      </c>
      <c r="CE95" s="1048">
        <f t="shared" si="128"/>
        <v>2908.4346271840473</v>
      </c>
      <c r="CF95" s="1048">
        <f t="shared" si="128"/>
        <v>3057.8524182792366</v>
      </c>
      <c r="CG95" s="1048">
        <f t="shared" si="128"/>
        <v>3199.619142734882</v>
      </c>
      <c r="CH95" s="1048">
        <f t="shared" si="128"/>
        <v>3311.993848713004</v>
      </c>
      <c r="CI95" s="1048">
        <f t="shared" si="128"/>
        <v>3358.5415097416544</v>
      </c>
      <c r="CJ95" s="1048">
        <f t="shared" si="128"/>
        <v>3291.926588463793</v>
      </c>
      <c r="CK95" s="1048">
        <f t="shared" si="128"/>
        <v>3069.411791854986</v>
      </c>
      <c r="CL95" s="1048">
        <f t="shared" si="128"/>
        <v>2677.480568732232</v>
      </c>
      <c r="CM95" s="1048">
        <f t="shared" si="128"/>
        <v>2148.1680040282486</v>
      </c>
      <c r="CN95" s="1048">
        <f t="shared" si="128"/>
        <v>1487.785841168411</v>
      </c>
      <c r="CO95" s="1048">
        <f t="shared" si="128"/>
        <v>925.9563047348518</v>
      </c>
      <c r="CP95" s="1048">
        <f t="shared" si="128"/>
        <v>513.3544881659809</v>
      </c>
      <c r="CQ95" s="1048">
        <f t="shared" si="128"/>
        <v>251.8122315261253</v>
      </c>
      <c r="CR95" s="1048">
        <f t="shared" si="128"/>
        <v>108.7193745482835</v>
      </c>
      <c r="CS95" s="1048">
        <f t="shared" si="128"/>
        <v>41.150035797597226</v>
      </c>
      <c r="CT95" s="1048">
        <f t="shared" si="128"/>
        <v>13.612109539679796</v>
      </c>
      <c r="CU95" s="1048">
        <f t="shared" si="128"/>
        <v>3.925808315265035</v>
      </c>
      <c r="CV95" s="1048">
        <f t="shared" si="128"/>
        <v>0.9852839885884233</v>
      </c>
      <c r="CW95" s="1073">
        <f t="shared" si="128"/>
        <v>0.21486796557701568</v>
      </c>
      <c r="CY95" s="1072">
        <f aca="true" t="shared" si="129" ref="CY95:DS95">IF(CY92&lt;&gt;0,C.2*EXP(-ksource*MAX(0,(CY83-CY$98))),0)*CY$86*CY$88*CY$90*CY92/8</f>
        <v>2199.7910125600006</v>
      </c>
      <c r="CZ95" s="1048">
        <f t="shared" si="129"/>
        <v>2318.656675459462</v>
      </c>
      <c r="DA95" s="1048">
        <f t="shared" si="129"/>
        <v>2443.8361017329557</v>
      </c>
      <c r="DB95" s="1048">
        <f t="shared" si="129"/>
        <v>2575.3150081445274</v>
      </c>
      <c r="DC95" s="1048">
        <f t="shared" si="129"/>
        <v>2712.0086244440986</v>
      </c>
      <c r="DD95" s="1048">
        <f t="shared" si="129"/>
        <v>2850.733534341356</v>
      </c>
      <c r="DE95" s="1048">
        <f t="shared" si="129"/>
        <v>2985.219016876498</v>
      </c>
      <c r="DF95" s="1048">
        <f t="shared" si="129"/>
        <v>3104.2557837723803</v>
      </c>
      <c r="DG95" s="1048">
        <f t="shared" si="129"/>
        <v>3189.4471629134273</v>
      </c>
      <c r="DH95" s="1048">
        <f t="shared" si="129"/>
        <v>3214.592726059861</v>
      </c>
      <c r="DI95" s="1048">
        <f t="shared" si="129"/>
        <v>3149.2465269046243</v>
      </c>
      <c r="DJ95" s="1048">
        <f t="shared" si="129"/>
        <v>2967.7064627739155</v>
      </c>
      <c r="DK95" s="1048">
        <f t="shared" si="129"/>
        <v>2661.27942029057</v>
      </c>
      <c r="DL95" s="1048">
        <f t="shared" si="129"/>
        <v>2247.8680260560213</v>
      </c>
      <c r="DM95" s="1048">
        <f t="shared" si="129"/>
        <v>1707.879464104049</v>
      </c>
      <c r="DN95" s="1048">
        <f t="shared" si="129"/>
        <v>1183.0466692021537</v>
      </c>
      <c r="DO95" s="1048">
        <f t="shared" si="129"/>
        <v>754.1266928068233</v>
      </c>
      <c r="DP95" s="1048">
        <f t="shared" si="129"/>
        <v>440.0864051003898</v>
      </c>
      <c r="DQ95" s="1048">
        <f t="shared" si="129"/>
        <v>234.14596630255843</v>
      </c>
      <c r="DR95" s="1048">
        <f t="shared" si="129"/>
        <v>113.20367502260545</v>
      </c>
      <c r="DS95" s="1073">
        <f t="shared" si="129"/>
        <v>49.604419847954816</v>
      </c>
      <c r="DU95" s="1072">
        <f aca="true" t="shared" si="130" ref="DU95:EO95">IF(DU92&lt;&gt;0,C.2*EXP(-ksource*MAX(0,(DU83-DU$98))),0)*DU$86*DU$88*DU$90*DU92/8</f>
        <v>1846.6223027440426</v>
      </c>
      <c r="DV95" s="1048">
        <f t="shared" si="130"/>
        <v>1946.4319487999207</v>
      </c>
      <c r="DW95" s="1048">
        <f t="shared" si="130"/>
        <v>2051.6284935618646</v>
      </c>
      <c r="DX95" s="1048">
        <f t="shared" si="130"/>
        <v>2162.4203280032543</v>
      </c>
      <c r="DY95" s="1048">
        <f t="shared" si="130"/>
        <v>2278.5541273376293</v>
      </c>
      <c r="DZ95" s="1048">
        <f t="shared" si="130"/>
        <v>2399.0725345593964</v>
      </c>
      <c r="EA95" s="1048">
        <f t="shared" si="130"/>
        <v>2522.5967642121655</v>
      </c>
      <c r="EB95" s="1048">
        <f t="shared" si="130"/>
        <v>2647.274621996756</v>
      </c>
      <c r="EC95" s="1048">
        <f t="shared" si="130"/>
        <v>2770.0458169437243</v>
      </c>
      <c r="ED95" s="1048">
        <f t="shared" si="130"/>
        <v>2885.359201823381</v>
      </c>
      <c r="EE95" s="1048">
        <f t="shared" si="130"/>
        <v>2983.6615772684736</v>
      </c>
      <c r="EF95" s="1048">
        <f t="shared" si="130"/>
        <v>3050.3056972876325</v>
      </c>
      <c r="EG95" s="1048">
        <f t="shared" si="130"/>
        <v>3065.89922074965</v>
      </c>
      <c r="EH95" s="1048">
        <f t="shared" si="130"/>
        <v>3009.1227822008277</v>
      </c>
      <c r="EI95" s="1048">
        <f t="shared" si="130"/>
        <v>2862.2738236232985</v>
      </c>
      <c r="EJ95" s="1048">
        <f t="shared" si="130"/>
        <v>2618.2659253668485</v>
      </c>
      <c r="EK95" s="1048">
        <f t="shared" si="130"/>
        <v>2286.2811998092025</v>
      </c>
      <c r="EL95" s="1048">
        <f t="shared" si="130"/>
        <v>1855.7135759746984</v>
      </c>
      <c r="EM95" s="1048">
        <f t="shared" si="130"/>
        <v>1373.99711652972</v>
      </c>
      <c r="EN95" s="1048">
        <f t="shared" si="130"/>
        <v>954.1670013397869</v>
      </c>
      <c r="EO95" s="1073">
        <f t="shared" si="130"/>
        <v>618.9009902115388</v>
      </c>
    </row>
    <row r="96" spans="28:145" ht="12.75">
      <c r="AB96" s="1021" t="s">
        <v>132</v>
      </c>
      <c r="AD96" s="1069">
        <f>AD82/Vc</f>
        <v>2.707119136571191</v>
      </c>
      <c r="AJ96" s="1021" t="s">
        <v>131</v>
      </c>
      <c r="AK96" s="1072">
        <f aca="true" t="shared" si="131" ref="AK96:BE96">IF(AK93&lt;&gt;0,C.3*EXP(-ksource*MAX(0,(AK83-AK$98))),0)*AK$86*AK$88*AK$90*AK93/8</f>
        <v>3728.016257663964</v>
      </c>
      <c r="AL96" s="1048">
        <f t="shared" si="131"/>
        <v>3742.6081122181854</v>
      </c>
      <c r="AM96" s="1048">
        <f t="shared" si="131"/>
        <v>3406.13314923196</v>
      </c>
      <c r="AN96" s="1048">
        <f t="shared" si="131"/>
        <v>2577.935434752273</v>
      </c>
      <c r="AO96" s="1048">
        <f t="shared" si="131"/>
        <v>1442.5279439555968</v>
      </c>
      <c r="AP96" s="1048">
        <f t="shared" si="131"/>
        <v>572.405809102944</v>
      </c>
      <c r="AQ96" s="1048">
        <f t="shared" si="131"/>
        <v>157.50029933372775</v>
      </c>
      <c r="AR96" s="1048">
        <f t="shared" si="131"/>
        <v>29.308991882584486</v>
      </c>
      <c r="AS96" s="1048">
        <f t="shared" si="131"/>
        <v>3.630451703089635</v>
      </c>
      <c r="AT96" s="1048">
        <f t="shared" si="131"/>
        <v>0.29625379140251723</v>
      </c>
      <c r="AU96" s="1048">
        <f t="shared" si="131"/>
        <v>0.015815590591840487</v>
      </c>
      <c r="AV96" s="1048">
        <f t="shared" si="131"/>
        <v>0.0005496943261078667</v>
      </c>
      <c r="AW96" s="1048">
        <f t="shared" si="131"/>
        <v>1.2395433108667477E-05</v>
      </c>
      <c r="AX96" s="1048">
        <f t="shared" si="131"/>
        <v>1.8088076441577412E-07</v>
      </c>
      <c r="AY96" s="1048">
        <f t="shared" si="131"/>
        <v>1.7048550303733306E-09</v>
      </c>
      <c r="AZ96" s="1048">
        <f t="shared" si="131"/>
        <v>1.0414549509147933E-11</v>
      </c>
      <c r="BA96" s="1048">
        <f t="shared" si="131"/>
        <v>0</v>
      </c>
      <c r="BB96" s="1048">
        <f t="shared" si="131"/>
        <v>0</v>
      </c>
      <c r="BC96" s="1048">
        <f t="shared" si="131"/>
        <v>0</v>
      </c>
      <c r="BD96" s="1048">
        <f t="shared" si="131"/>
        <v>0</v>
      </c>
      <c r="BE96" s="1073">
        <f t="shared" si="131"/>
        <v>0</v>
      </c>
      <c r="BG96" s="1072">
        <f aca="true" t="shared" si="132" ref="BG96:CA96">IF(BG93&lt;&gt;0,C.3*EXP(-ksource*MAX(0,(BG83-BG$98))),0)*BG$86*BG$88*BG$90*BG93/8</f>
        <v>3168.400736616305</v>
      </c>
      <c r="BH96" s="1048">
        <f t="shared" si="132"/>
        <v>3329.8006898601157</v>
      </c>
      <c r="BI96" s="1048">
        <f t="shared" si="132"/>
        <v>3471.6239428961867</v>
      </c>
      <c r="BJ96" s="1048">
        <f t="shared" si="132"/>
        <v>3537.5299617976175</v>
      </c>
      <c r="BK96" s="1048">
        <f t="shared" si="132"/>
        <v>3446.6273085664893</v>
      </c>
      <c r="BL96" s="1048">
        <f t="shared" si="132"/>
        <v>3126.8491886454976</v>
      </c>
      <c r="BM96" s="1048">
        <f t="shared" si="132"/>
        <v>2566.0933741905533</v>
      </c>
      <c r="BN96" s="1048">
        <f t="shared" si="132"/>
        <v>1819.6739963097095</v>
      </c>
      <c r="BO96" s="1048">
        <f t="shared" si="132"/>
        <v>1072.7374316619394</v>
      </c>
      <c r="BP96" s="1048">
        <f t="shared" si="132"/>
        <v>534.4298634616179</v>
      </c>
      <c r="BQ96" s="1048">
        <f t="shared" si="132"/>
        <v>222.04891482720788</v>
      </c>
      <c r="BR96" s="1048">
        <f t="shared" si="132"/>
        <v>76.20449172903753</v>
      </c>
      <c r="BS96" s="1048">
        <f t="shared" si="132"/>
        <v>21.450427698407516</v>
      </c>
      <c r="BT96" s="1048">
        <f t="shared" si="132"/>
        <v>4.92690994387201</v>
      </c>
      <c r="BU96" s="1048">
        <f t="shared" si="132"/>
        <v>0.9198777685542723</v>
      </c>
      <c r="BV96" s="1048">
        <f t="shared" si="132"/>
        <v>0.13920145098431166</v>
      </c>
      <c r="BW96" s="1048">
        <f t="shared" si="132"/>
        <v>0.017035291041132432</v>
      </c>
      <c r="BX96" s="1048">
        <f t="shared" si="132"/>
        <v>0.0016830399608094041</v>
      </c>
      <c r="BY96" s="1048">
        <f t="shared" si="132"/>
        <v>0.00013405481512960077</v>
      </c>
      <c r="BZ96" s="1048">
        <f t="shared" si="132"/>
        <v>8.59874911677852E-06</v>
      </c>
      <c r="CA96" s="1073">
        <f t="shared" si="132"/>
        <v>4.4377641587761913E-07</v>
      </c>
      <c r="CC96" s="1072">
        <f aca="true" t="shared" si="133" ref="CC96:CW96">IF(CC93&lt;&gt;0,C.3*EXP(-ksource*MAX(0,(CC83-CC$98))),0)*CC$86*CC$88*CC$90*CC93/8</f>
        <v>2661.7766211453663</v>
      </c>
      <c r="CD96" s="1048">
        <f t="shared" si="133"/>
        <v>2805.0642597456003</v>
      </c>
      <c r="CE96" s="1048">
        <f t="shared" si="133"/>
        <v>2952.4580992637525</v>
      </c>
      <c r="CF96" s="1048">
        <f t="shared" si="133"/>
        <v>3089.506456012893</v>
      </c>
      <c r="CG96" s="1048">
        <f t="shared" si="133"/>
        <v>3199.2475626406995</v>
      </c>
      <c r="CH96" s="1048">
        <f t="shared" si="133"/>
        <v>3263.564918784154</v>
      </c>
      <c r="CI96" s="1048">
        <f t="shared" si="133"/>
        <v>3254.314624129543</v>
      </c>
      <c r="CJ96" s="1048">
        <f t="shared" si="133"/>
        <v>3134.5202258260665</v>
      </c>
      <c r="CK96" s="1048">
        <f t="shared" si="133"/>
        <v>2872.7241808419785</v>
      </c>
      <c r="CL96" s="1048">
        <f t="shared" si="133"/>
        <v>2464.9366057605034</v>
      </c>
      <c r="CM96" s="1048">
        <f t="shared" si="133"/>
        <v>1947.2158114962663</v>
      </c>
      <c r="CN96" s="1048">
        <f t="shared" si="133"/>
        <v>1329.2748036765208</v>
      </c>
      <c r="CO96" s="1048">
        <f t="shared" si="133"/>
        <v>816.3093704553237</v>
      </c>
      <c r="CP96" s="1048">
        <f t="shared" si="133"/>
        <v>447.0056172194507</v>
      </c>
      <c r="CQ96" s="1048">
        <f t="shared" si="133"/>
        <v>216.77836307449022</v>
      </c>
      <c r="CR96" s="1048">
        <f t="shared" si="133"/>
        <v>92.612383865126</v>
      </c>
      <c r="CS96" s="1048">
        <f t="shared" si="133"/>
        <v>34.713783351201684</v>
      </c>
      <c r="CT96" s="1048">
        <f t="shared" si="133"/>
        <v>11.379990171469666</v>
      </c>
      <c r="CU96" s="1048">
        <f t="shared" si="133"/>
        <v>3.2547383094581352</v>
      </c>
      <c r="CV96" s="1048">
        <f t="shared" si="133"/>
        <v>0.8105465787381142</v>
      </c>
      <c r="CW96" s="1073">
        <f t="shared" si="133"/>
        <v>0.17549008830283871</v>
      </c>
      <c r="CY96" s="1072">
        <f aca="true" t="shared" si="134" ref="CY96:DS96">IF(CY93&lt;&gt;0,C.3*EXP(-ksource*MAX(0,(CY83-CY$98))),0)*CY$86*CY$88*CY$90*CY93/8</f>
        <v>2234.5506899593684</v>
      </c>
      <c r="CZ96" s="1048">
        <f t="shared" si="134"/>
        <v>2355.2911996031007</v>
      </c>
      <c r="DA96" s="1048">
        <f t="shared" si="134"/>
        <v>2480.8271860043537</v>
      </c>
      <c r="DB96" s="1048">
        <f t="shared" si="134"/>
        <v>2601.9739528197365</v>
      </c>
      <c r="DC96" s="1048">
        <f t="shared" si="134"/>
        <v>2711.6936718278207</v>
      </c>
      <c r="DD96" s="1048">
        <f t="shared" si="134"/>
        <v>2809.0492858533685</v>
      </c>
      <c r="DE96" s="1048">
        <f t="shared" si="134"/>
        <v>2892.577589013657</v>
      </c>
      <c r="DF96" s="1048">
        <f t="shared" si="134"/>
        <v>2955.8230655783946</v>
      </c>
      <c r="DG96" s="1048">
        <f t="shared" si="134"/>
        <v>2985.0676969224733</v>
      </c>
      <c r="DH96" s="1048">
        <f t="shared" si="134"/>
        <v>2959.4116856012315</v>
      </c>
      <c r="DI96" s="1048">
        <f t="shared" si="134"/>
        <v>2854.6475973895695</v>
      </c>
      <c r="DJ96" s="1048">
        <f t="shared" si="134"/>
        <v>2651.522360620982</v>
      </c>
      <c r="DK96" s="1048">
        <f t="shared" si="134"/>
        <v>2346.144539514941</v>
      </c>
      <c r="DL96" s="1048">
        <f t="shared" si="134"/>
        <v>1957.3407023377556</v>
      </c>
      <c r="DM96" s="1048">
        <f t="shared" si="134"/>
        <v>1470.267398502452</v>
      </c>
      <c r="DN96" s="1048">
        <f t="shared" si="134"/>
        <v>1007.7759618627097</v>
      </c>
      <c r="DO96" s="1048">
        <f t="shared" si="134"/>
        <v>636.1741885770818</v>
      </c>
      <c r="DP96" s="1048">
        <f t="shared" si="134"/>
        <v>367.9208538574297</v>
      </c>
      <c r="DQ96" s="1048">
        <f t="shared" si="134"/>
        <v>194.12151213974428</v>
      </c>
      <c r="DR96" s="1048">
        <f t="shared" si="134"/>
        <v>93.12731410728647</v>
      </c>
      <c r="DS96" s="1073">
        <f t="shared" si="134"/>
        <v>40.51364285947265</v>
      </c>
      <c r="DU96" s="1072">
        <f aca="true" t="shared" si="135" ref="DU96:EO96">IF(DU93&lt;&gt;0,C.3*EXP(-ksource*MAX(0,(DU83-DU$98))),0)*DU$86*DU$88*DU$90*DU93/8</f>
        <v>1875.8014361959797</v>
      </c>
      <c r="DV96" s="1048">
        <f t="shared" si="135"/>
        <v>1977.18536260929</v>
      </c>
      <c r="DW96" s="1048">
        <f t="shared" si="135"/>
        <v>2082.6829339333494</v>
      </c>
      <c r="DX96" s="1048">
        <f t="shared" si="135"/>
        <v>2184.805101790722</v>
      </c>
      <c r="DY96" s="1048">
        <f t="shared" si="135"/>
        <v>2278.2895129196413</v>
      </c>
      <c r="DZ96" s="1048">
        <f t="shared" si="135"/>
        <v>2363.9926035638864</v>
      </c>
      <c r="EA96" s="1048">
        <f t="shared" si="135"/>
        <v>2444.3120672309306</v>
      </c>
      <c r="EB96" s="1048">
        <f t="shared" si="135"/>
        <v>2520.6928596294106</v>
      </c>
      <c r="EC96" s="1048">
        <f t="shared" si="135"/>
        <v>2592.541548674145</v>
      </c>
      <c r="ED96" s="1048">
        <f t="shared" si="135"/>
        <v>2656.313401635609</v>
      </c>
      <c r="EE96" s="1048">
        <f t="shared" si="135"/>
        <v>2704.552431893805</v>
      </c>
      <c r="EF96" s="1048">
        <f t="shared" si="135"/>
        <v>2725.321343111516</v>
      </c>
      <c r="EG96" s="1048">
        <f t="shared" si="135"/>
        <v>2702.8513656335767</v>
      </c>
      <c r="EH96" s="1048">
        <f t="shared" si="135"/>
        <v>2620.2065386674626</v>
      </c>
      <c r="EI96" s="1048">
        <f t="shared" si="135"/>
        <v>2464.054388444775</v>
      </c>
      <c r="EJ96" s="1048">
        <f t="shared" si="135"/>
        <v>2230.3646424434146</v>
      </c>
      <c r="EK96" s="1048">
        <f t="shared" si="135"/>
        <v>1928.6853270425656</v>
      </c>
      <c r="EL96" s="1048">
        <f t="shared" si="135"/>
        <v>1551.412894092216</v>
      </c>
      <c r="EM96" s="1048">
        <f t="shared" si="135"/>
        <v>1139.1287330217965</v>
      </c>
      <c r="EN96" s="1048">
        <f t="shared" si="135"/>
        <v>784.9481037327972</v>
      </c>
      <c r="EO96" s="1073">
        <f t="shared" si="135"/>
        <v>505.477813462182</v>
      </c>
    </row>
    <row r="97" spans="28:145" ht="12.75">
      <c r="AB97" s="1021"/>
      <c r="AD97" s="1069"/>
      <c r="AJ97" s="1021"/>
      <c r="AK97" s="1070"/>
      <c r="AL97" s="766"/>
      <c r="AM97" s="766"/>
      <c r="AN97" s="766"/>
      <c r="AO97" s="766"/>
      <c r="AP97" s="766"/>
      <c r="AQ97" s="766"/>
      <c r="AR97" s="766"/>
      <c r="AS97" s="766"/>
      <c r="AT97" s="766"/>
      <c r="AU97" s="766"/>
      <c r="AV97" s="766"/>
      <c r="AW97" s="766"/>
      <c r="AX97" s="766"/>
      <c r="AY97" s="766"/>
      <c r="AZ97" s="766"/>
      <c r="BA97" s="766"/>
      <c r="BB97" s="766"/>
      <c r="BC97" s="766"/>
      <c r="BD97" s="766"/>
      <c r="BE97" s="1067"/>
      <c r="BG97" s="1070"/>
      <c r="BH97" s="766"/>
      <c r="BI97" s="766"/>
      <c r="BJ97" s="766"/>
      <c r="BK97" s="766"/>
      <c r="BL97" s="766"/>
      <c r="BM97" s="766"/>
      <c r="BN97" s="766"/>
      <c r="BO97" s="766"/>
      <c r="BP97" s="766"/>
      <c r="BQ97" s="766"/>
      <c r="BR97" s="766"/>
      <c r="BS97" s="766"/>
      <c r="BT97" s="766"/>
      <c r="BU97" s="766"/>
      <c r="BV97" s="766"/>
      <c r="BW97" s="766"/>
      <c r="BX97" s="766"/>
      <c r="BY97" s="766"/>
      <c r="BZ97" s="766"/>
      <c r="CA97" s="1067"/>
      <c r="CC97" s="1070"/>
      <c r="CD97" s="766"/>
      <c r="CE97" s="766"/>
      <c r="CF97" s="766"/>
      <c r="CG97" s="766"/>
      <c r="CH97" s="766"/>
      <c r="CI97" s="766"/>
      <c r="CJ97" s="766"/>
      <c r="CK97" s="766"/>
      <c r="CL97" s="766"/>
      <c r="CM97" s="766"/>
      <c r="CN97" s="766"/>
      <c r="CO97" s="766"/>
      <c r="CP97" s="766"/>
      <c r="CQ97" s="766"/>
      <c r="CR97" s="766"/>
      <c r="CS97" s="766"/>
      <c r="CT97" s="766"/>
      <c r="CU97" s="766"/>
      <c r="CV97" s="766"/>
      <c r="CW97" s="1067"/>
      <c r="CY97" s="1070"/>
      <c r="CZ97" s="766"/>
      <c r="DA97" s="766"/>
      <c r="DB97" s="766"/>
      <c r="DC97" s="766"/>
      <c r="DD97" s="766"/>
      <c r="DE97" s="766"/>
      <c r="DF97" s="766"/>
      <c r="DG97" s="766"/>
      <c r="DH97" s="766"/>
      <c r="DI97" s="766"/>
      <c r="DJ97" s="766"/>
      <c r="DK97" s="766"/>
      <c r="DL97" s="766"/>
      <c r="DM97" s="766"/>
      <c r="DN97" s="766"/>
      <c r="DO97" s="766"/>
      <c r="DP97" s="766"/>
      <c r="DQ97" s="766"/>
      <c r="DR97" s="766"/>
      <c r="DS97" s="1067"/>
      <c r="DU97" s="1070"/>
      <c r="DV97" s="766"/>
      <c r="DW97" s="766"/>
      <c r="DX97" s="766"/>
      <c r="DY97" s="766"/>
      <c r="DZ97" s="766"/>
      <c r="EA97" s="766"/>
      <c r="EB97" s="766"/>
      <c r="EC97" s="766"/>
      <c r="ED97" s="766"/>
      <c r="EE97" s="766"/>
      <c r="EF97" s="766"/>
      <c r="EG97" s="766"/>
      <c r="EH97" s="766"/>
      <c r="EI97" s="766"/>
      <c r="EJ97" s="766"/>
      <c r="EK97" s="766"/>
      <c r="EL97" s="766"/>
      <c r="EM97" s="766"/>
      <c r="EN97" s="766"/>
      <c r="EO97" s="1067"/>
    </row>
    <row r="98" spans="28:145" ht="12.75">
      <c r="AB98" s="1036" t="s">
        <v>47</v>
      </c>
      <c r="AD98" s="1074">
        <f>AD92+AD93+AD94</f>
        <v>3648.4390259616816</v>
      </c>
      <c r="AJ98" s="1021" t="s">
        <v>132</v>
      </c>
      <c r="AK98" s="1070">
        <f aca="true" t="shared" si="136" ref="AK98:BE98">AK84/Vc</f>
        <v>1.8047460910474607E-11</v>
      </c>
      <c r="AL98" s="1033">
        <f t="shared" si="136"/>
        <v>0.7218984364370317</v>
      </c>
      <c r="AM98" s="1033">
        <f t="shared" si="136"/>
        <v>1.4437968728560158</v>
      </c>
      <c r="AN98" s="1033">
        <f t="shared" si="136"/>
        <v>2.165695309275</v>
      </c>
      <c r="AO98" s="1033">
        <f t="shared" si="136"/>
        <v>2.887593745693984</v>
      </c>
      <c r="AP98" s="1033">
        <f t="shared" si="136"/>
        <v>3.6094921821129686</v>
      </c>
      <c r="AQ98" s="1033">
        <f t="shared" si="136"/>
        <v>4.331390618531953</v>
      </c>
      <c r="AR98" s="1033">
        <f t="shared" si="136"/>
        <v>5.0532890549509375</v>
      </c>
      <c r="AS98" s="1033">
        <f t="shared" si="136"/>
        <v>5.7751874913699215</v>
      </c>
      <c r="AT98" s="1033">
        <f t="shared" si="136"/>
        <v>6.4970859277889055</v>
      </c>
      <c r="AU98" s="1033">
        <f t="shared" si="136"/>
        <v>7.21898436420789</v>
      </c>
      <c r="AV98" s="1033">
        <f t="shared" si="136"/>
        <v>7.940882800626874</v>
      </c>
      <c r="AW98" s="1033">
        <f t="shared" si="136"/>
        <v>8.66278123704586</v>
      </c>
      <c r="AX98" s="1033">
        <f t="shared" si="136"/>
        <v>9.384679673464843</v>
      </c>
      <c r="AY98" s="1033">
        <f t="shared" si="136"/>
        <v>10.106578109883827</v>
      </c>
      <c r="AZ98" s="1033">
        <f t="shared" si="136"/>
        <v>10.828476546302811</v>
      </c>
      <c r="BA98" s="1033">
        <f t="shared" si="136"/>
        <v>11.550374982721795</v>
      </c>
      <c r="BB98" s="1033">
        <f t="shared" si="136"/>
        <v>12.27227341914078</v>
      </c>
      <c r="BC98" s="1033">
        <f t="shared" si="136"/>
        <v>12.994171855559765</v>
      </c>
      <c r="BD98" s="1033">
        <f t="shared" si="136"/>
        <v>13.716070291978749</v>
      </c>
      <c r="BE98" s="1071">
        <f t="shared" si="136"/>
        <v>14.437968728397733</v>
      </c>
      <c r="BG98" s="1070">
        <f aca="true" t="shared" si="137" ref="BG98:CA98">BG84/Vc</f>
        <v>1.8047460910474607E-11</v>
      </c>
      <c r="BH98" s="1033">
        <f t="shared" si="137"/>
        <v>0.7218984364370317</v>
      </c>
      <c r="BI98" s="1033">
        <f t="shared" si="137"/>
        <v>1.4437968728560158</v>
      </c>
      <c r="BJ98" s="1033">
        <f t="shared" si="137"/>
        <v>2.165695309275</v>
      </c>
      <c r="BK98" s="1033">
        <f t="shared" si="137"/>
        <v>2.887593745693984</v>
      </c>
      <c r="BL98" s="1033">
        <f t="shared" si="137"/>
        <v>3.6094921821129686</v>
      </c>
      <c r="BM98" s="1033">
        <f t="shared" si="137"/>
        <v>4.331390618531953</v>
      </c>
      <c r="BN98" s="1033">
        <f t="shared" si="137"/>
        <v>5.0532890549509375</v>
      </c>
      <c r="BO98" s="1033">
        <f t="shared" si="137"/>
        <v>5.7751874913699215</v>
      </c>
      <c r="BP98" s="1033">
        <f t="shared" si="137"/>
        <v>6.4970859277889055</v>
      </c>
      <c r="BQ98" s="1033">
        <f t="shared" si="137"/>
        <v>7.21898436420789</v>
      </c>
      <c r="BR98" s="1033">
        <f t="shared" si="137"/>
        <v>7.940882800626874</v>
      </c>
      <c r="BS98" s="1033">
        <f t="shared" si="137"/>
        <v>8.66278123704586</v>
      </c>
      <c r="BT98" s="1033">
        <f t="shared" si="137"/>
        <v>9.384679673464843</v>
      </c>
      <c r="BU98" s="1033">
        <f t="shared" si="137"/>
        <v>10.106578109883827</v>
      </c>
      <c r="BV98" s="1033">
        <f t="shared" si="137"/>
        <v>10.828476546302811</v>
      </c>
      <c r="BW98" s="1033">
        <f t="shared" si="137"/>
        <v>11.550374982721795</v>
      </c>
      <c r="BX98" s="1033">
        <f t="shared" si="137"/>
        <v>12.27227341914078</v>
      </c>
      <c r="BY98" s="1033">
        <f t="shared" si="137"/>
        <v>12.994171855559765</v>
      </c>
      <c r="BZ98" s="1033">
        <f t="shared" si="137"/>
        <v>13.716070291978749</v>
      </c>
      <c r="CA98" s="1071">
        <f t="shared" si="137"/>
        <v>14.437968728397733</v>
      </c>
      <c r="CC98" s="1070">
        <f aca="true" t="shared" si="138" ref="CC98:CW98">CC84/Vc</f>
        <v>1.8047460910474607E-11</v>
      </c>
      <c r="CD98" s="1033">
        <f t="shared" si="138"/>
        <v>0.7218984364370317</v>
      </c>
      <c r="CE98" s="1033">
        <f t="shared" si="138"/>
        <v>1.4437968728560158</v>
      </c>
      <c r="CF98" s="1033">
        <f t="shared" si="138"/>
        <v>2.165695309275</v>
      </c>
      <c r="CG98" s="1033">
        <f t="shared" si="138"/>
        <v>2.887593745693984</v>
      </c>
      <c r="CH98" s="1033">
        <f t="shared" si="138"/>
        <v>3.6094921821129686</v>
      </c>
      <c r="CI98" s="1033">
        <f t="shared" si="138"/>
        <v>4.331390618531953</v>
      </c>
      <c r="CJ98" s="1033">
        <f t="shared" si="138"/>
        <v>5.0532890549509375</v>
      </c>
      <c r="CK98" s="1033">
        <f t="shared" si="138"/>
        <v>5.7751874913699215</v>
      </c>
      <c r="CL98" s="1033">
        <f t="shared" si="138"/>
        <v>6.4970859277889055</v>
      </c>
      <c r="CM98" s="1033">
        <f t="shared" si="138"/>
        <v>7.21898436420789</v>
      </c>
      <c r="CN98" s="1033">
        <f t="shared" si="138"/>
        <v>7.940882800626874</v>
      </c>
      <c r="CO98" s="1033">
        <f t="shared" si="138"/>
        <v>8.66278123704586</v>
      </c>
      <c r="CP98" s="1033">
        <f t="shared" si="138"/>
        <v>9.384679673464843</v>
      </c>
      <c r="CQ98" s="1033">
        <f t="shared" si="138"/>
        <v>10.106578109883827</v>
      </c>
      <c r="CR98" s="1033">
        <f t="shared" si="138"/>
        <v>10.828476546302811</v>
      </c>
      <c r="CS98" s="1033">
        <f t="shared" si="138"/>
        <v>11.550374982721795</v>
      </c>
      <c r="CT98" s="1033">
        <f t="shared" si="138"/>
        <v>12.27227341914078</v>
      </c>
      <c r="CU98" s="1033">
        <f t="shared" si="138"/>
        <v>12.994171855559765</v>
      </c>
      <c r="CV98" s="1033">
        <f t="shared" si="138"/>
        <v>13.716070291978749</v>
      </c>
      <c r="CW98" s="1071">
        <f t="shared" si="138"/>
        <v>14.437968728397733</v>
      </c>
      <c r="CY98" s="1070">
        <f aca="true" t="shared" si="139" ref="CY98:DS98">CY84/Vc</f>
        <v>1.8047460910474607E-11</v>
      </c>
      <c r="CZ98" s="1033">
        <f t="shared" si="139"/>
        <v>0.7218984364370317</v>
      </c>
      <c r="DA98" s="1033">
        <f t="shared" si="139"/>
        <v>1.4437968728560158</v>
      </c>
      <c r="DB98" s="1033">
        <f t="shared" si="139"/>
        <v>2.165695309275</v>
      </c>
      <c r="DC98" s="1033">
        <f t="shared" si="139"/>
        <v>2.887593745693984</v>
      </c>
      <c r="DD98" s="1033">
        <f t="shared" si="139"/>
        <v>3.6094921821129686</v>
      </c>
      <c r="DE98" s="1033">
        <f t="shared" si="139"/>
        <v>4.331390618531953</v>
      </c>
      <c r="DF98" s="1033">
        <f t="shared" si="139"/>
        <v>5.0532890549509375</v>
      </c>
      <c r="DG98" s="1033">
        <f t="shared" si="139"/>
        <v>5.7751874913699215</v>
      </c>
      <c r="DH98" s="1033">
        <f t="shared" si="139"/>
        <v>6.4970859277889055</v>
      </c>
      <c r="DI98" s="1033">
        <f t="shared" si="139"/>
        <v>7.21898436420789</v>
      </c>
      <c r="DJ98" s="1033">
        <f t="shared" si="139"/>
        <v>7.940882800626874</v>
      </c>
      <c r="DK98" s="1033">
        <f t="shared" si="139"/>
        <v>8.66278123704586</v>
      </c>
      <c r="DL98" s="1033">
        <f t="shared" si="139"/>
        <v>9.384679673464843</v>
      </c>
      <c r="DM98" s="1033">
        <f t="shared" si="139"/>
        <v>10.106578109883827</v>
      </c>
      <c r="DN98" s="1033">
        <f t="shared" si="139"/>
        <v>10.828476546302811</v>
      </c>
      <c r="DO98" s="1033">
        <f t="shared" si="139"/>
        <v>11.550374982721795</v>
      </c>
      <c r="DP98" s="1033">
        <f t="shared" si="139"/>
        <v>12.27227341914078</v>
      </c>
      <c r="DQ98" s="1033">
        <f t="shared" si="139"/>
        <v>12.994171855559765</v>
      </c>
      <c r="DR98" s="1033">
        <f t="shared" si="139"/>
        <v>13.716070291978749</v>
      </c>
      <c r="DS98" s="1071">
        <f t="shared" si="139"/>
        <v>14.437968728397733</v>
      </c>
      <c r="DU98" s="1070">
        <f aca="true" t="shared" si="140" ref="DU98:EO98">DU84/Vc</f>
        <v>1.8047460910474607E-11</v>
      </c>
      <c r="DV98" s="1033">
        <f t="shared" si="140"/>
        <v>0.7218984364370317</v>
      </c>
      <c r="DW98" s="1033">
        <f t="shared" si="140"/>
        <v>1.4437968728560158</v>
      </c>
      <c r="DX98" s="1033">
        <f t="shared" si="140"/>
        <v>2.165695309275</v>
      </c>
      <c r="DY98" s="1033">
        <f t="shared" si="140"/>
        <v>2.887593745693984</v>
      </c>
      <c r="DZ98" s="1033">
        <f t="shared" si="140"/>
        <v>3.6094921821129686</v>
      </c>
      <c r="EA98" s="1033">
        <f t="shared" si="140"/>
        <v>4.331390618531953</v>
      </c>
      <c r="EB98" s="1033">
        <f t="shared" si="140"/>
        <v>5.0532890549509375</v>
      </c>
      <c r="EC98" s="1033">
        <f t="shared" si="140"/>
        <v>5.7751874913699215</v>
      </c>
      <c r="ED98" s="1033">
        <f t="shared" si="140"/>
        <v>6.4970859277889055</v>
      </c>
      <c r="EE98" s="1033">
        <f t="shared" si="140"/>
        <v>7.21898436420789</v>
      </c>
      <c r="EF98" s="1033">
        <f t="shared" si="140"/>
        <v>7.940882800626874</v>
      </c>
      <c r="EG98" s="1033">
        <f t="shared" si="140"/>
        <v>8.66278123704586</v>
      </c>
      <c r="EH98" s="1033">
        <f t="shared" si="140"/>
        <v>9.384679673464843</v>
      </c>
      <c r="EI98" s="1033">
        <f t="shared" si="140"/>
        <v>10.106578109883827</v>
      </c>
      <c r="EJ98" s="1033">
        <f t="shared" si="140"/>
        <v>10.828476546302811</v>
      </c>
      <c r="EK98" s="1033">
        <f t="shared" si="140"/>
        <v>11.550374982721795</v>
      </c>
      <c r="EL98" s="1033">
        <f t="shared" si="140"/>
        <v>12.27227341914078</v>
      </c>
      <c r="EM98" s="1033">
        <f t="shared" si="140"/>
        <v>12.994171855559765</v>
      </c>
      <c r="EN98" s="1033">
        <f t="shared" si="140"/>
        <v>13.716070291978749</v>
      </c>
      <c r="EO98" s="1071">
        <f t="shared" si="140"/>
        <v>14.437968728397733</v>
      </c>
    </row>
    <row r="99" spans="30:145" ht="12.75">
      <c r="AD99" s="1075"/>
      <c r="AJ99" s="1021"/>
      <c r="AK99" s="1066"/>
      <c r="AL99" s="766"/>
      <c r="AM99" s="766"/>
      <c r="AN99" s="766"/>
      <c r="AO99" s="766"/>
      <c r="AP99" s="766"/>
      <c r="AQ99" s="766"/>
      <c r="AR99" s="766"/>
      <c r="AS99" s="766"/>
      <c r="AT99" s="766"/>
      <c r="AU99" s="766"/>
      <c r="AV99" s="766"/>
      <c r="AW99" s="766"/>
      <c r="AX99" s="766"/>
      <c r="AY99" s="766"/>
      <c r="AZ99" s="766"/>
      <c r="BA99" s="766"/>
      <c r="BB99" s="766"/>
      <c r="BC99" s="766"/>
      <c r="BD99" s="766"/>
      <c r="BE99" s="1067"/>
      <c r="BG99" s="1066"/>
      <c r="BH99" s="766"/>
      <c r="BI99" s="766"/>
      <c r="BJ99" s="766"/>
      <c r="BK99" s="766"/>
      <c r="BL99" s="766"/>
      <c r="BM99" s="766"/>
      <c r="BN99" s="766"/>
      <c r="BO99" s="766"/>
      <c r="BP99" s="766"/>
      <c r="BQ99" s="766"/>
      <c r="BR99" s="766"/>
      <c r="BS99" s="766"/>
      <c r="BT99" s="766"/>
      <c r="BU99" s="766"/>
      <c r="BV99" s="766"/>
      <c r="BW99" s="766"/>
      <c r="BX99" s="766"/>
      <c r="BY99" s="766"/>
      <c r="BZ99" s="766"/>
      <c r="CA99" s="1067"/>
      <c r="CC99" s="1066"/>
      <c r="CD99" s="766"/>
      <c r="CE99" s="766"/>
      <c r="CF99" s="766"/>
      <c r="CG99" s="766"/>
      <c r="CH99" s="766"/>
      <c r="CI99" s="766"/>
      <c r="CJ99" s="766"/>
      <c r="CK99" s="766"/>
      <c r="CL99" s="766"/>
      <c r="CM99" s="766"/>
      <c r="CN99" s="766"/>
      <c r="CO99" s="766"/>
      <c r="CP99" s="766"/>
      <c r="CQ99" s="766"/>
      <c r="CR99" s="766"/>
      <c r="CS99" s="766"/>
      <c r="CT99" s="766"/>
      <c r="CU99" s="766"/>
      <c r="CV99" s="766"/>
      <c r="CW99" s="1067"/>
      <c r="CY99" s="1066"/>
      <c r="CZ99" s="766"/>
      <c r="DA99" s="766"/>
      <c r="DB99" s="766"/>
      <c r="DC99" s="766"/>
      <c r="DD99" s="766"/>
      <c r="DE99" s="766"/>
      <c r="DF99" s="766"/>
      <c r="DG99" s="766"/>
      <c r="DH99" s="766"/>
      <c r="DI99" s="766"/>
      <c r="DJ99" s="766"/>
      <c r="DK99" s="766"/>
      <c r="DL99" s="766"/>
      <c r="DM99" s="766"/>
      <c r="DN99" s="766"/>
      <c r="DO99" s="766"/>
      <c r="DP99" s="766"/>
      <c r="DQ99" s="766"/>
      <c r="DR99" s="766"/>
      <c r="DS99" s="1067"/>
      <c r="DU99" s="1066"/>
      <c r="DV99" s="766"/>
      <c r="DW99" s="766"/>
      <c r="DX99" s="766"/>
      <c r="DY99" s="766"/>
      <c r="DZ99" s="766"/>
      <c r="EA99" s="766"/>
      <c r="EB99" s="766"/>
      <c r="EC99" s="766"/>
      <c r="ED99" s="766"/>
      <c r="EE99" s="766"/>
      <c r="EF99" s="766"/>
      <c r="EG99" s="766"/>
      <c r="EH99" s="766"/>
      <c r="EI99" s="766"/>
      <c r="EJ99" s="766"/>
      <c r="EK99" s="766"/>
      <c r="EL99" s="766"/>
      <c r="EM99" s="766"/>
      <c r="EN99" s="766"/>
      <c r="EO99" s="1067"/>
    </row>
    <row r="100" spans="30:145" ht="12.75">
      <c r="AD100" s="1075"/>
      <c r="AJ100" s="1036" t="s">
        <v>47</v>
      </c>
      <c r="AK100" s="1076">
        <f>AK94+AK95+AK96</f>
        <v>7456.032515327928</v>
      </c>
      <c r="AL100" s="1039">
        <f>AL94+AL95+AL96</f>
        <v>7485.221613954291</v>
      </c>
      <c r="AM100" s="1039">
        <f>AM94+AM95+AM96</f>
        <v>6814.497187429786</v>
      </c>
      <c r="AN100" s="1039">
        <f aca="true" t="shared" si="141" ref="AN100:BD100">AN94+AN95+AN96</f>
        <v>5169.776939358382</v>
      </c>
      <c r="AO100" s="1039">
        <f t="shared" si="141"/>
        <v>2908.0268357795558</v>
      </c>
      <c r="AP100" s="1039">
        <f t="shared" si="141"/>
        <v>1162.4959688318247</v>
      </c>
      <c r="AQ100" s="1039">
        <f t="shared" si="141"/>
        <v>322.62148396062685</v>
      </c>
      <c r="AR100" s="1039">
        <f t="shared" si="141"/>
        <v>60.57924878845684</v>
      </c>
      <c r="AS100" s="1039">
        <f t="shared" si="141"/>
        <v>7.5714192476444415</v>
      </c>
      <c r="AT100" s="1039">
        <f t="shared" si="141"/>
        <v>0.6232196977326699</v>
      </c>
      <c r="AU100" s="1039">
        <f t="shared" si="141"/>
        <v>0.03354527978009739</v>
      </c>
      <c r="AV100" s="1039">
        <f t="shared" si="141"/>
        <v>0.001174949783363435</v>
      </c>
      <c r="AW100" s="1039">
        <f t="shared" si="141"/>
        <v>2.6686394099603234E-05</v>
      </c>
      <c r="AX100" s="1039">
        <f t="shared" si="141"/>
        <v>3.920436662616843E-07</v>
      </c>
      <c r="AY100" s="1039">
        <f t="shared" si="141"/>
        <v>3.7182481496097605E-09</v>
      </c>
      <c r="AZ100" s="1039">
        <f t="shared" si="141"/>
        <v>2.2845942265500802E-11</v>
      </c>
      <c r="BA100" s="1039">
        <f t="shared" si="141"/>
        <v>0</v>
      </c>
      <c r="BB100" s="1039">
        <f t="shared" si="141"/>
        <v>0</v>
      </c>
      <c r="BC100" s="1039">
        <f t="shared" si="141"/>
        <v>0</v>
      </c>
      <c r="BD100" s="1039">
        <f t="shared" si="141"/>
        <v>0</v>
      </c>
      <c r="BE100" s="1077">
        <f>BE94+BE95+BE96</f>
        <v>0</v>
      </c>
      <c r="BF100" s="1035"/>
      <c r="BG100" s="1076">
        <f>BG94+BG95+BG96</f>
        <v>6336.80147323261</v>
      </c>
      <c r="BH100" s="1039">
        <f>BH94+BH95+BH96</f>
        <v>6659.606174777568</v>
      </c>
      <c r="BI100" s="1039">
        <f>BI94+BI95+BI96</f>
        <v>6945.521668762247</v>
      </c>
      <c r="BJ100" s="1039">
        <f aca="true" t="shared" si="142" ref="BJ100:BZ100">BJ94+BJ95+BJ96</f>
        <v>7094.142301724507</v>
      </c>
      <c r="BK100" s="1039">
        <f t="shared" si="142"/>
        <v>6948.139027905399</v>
      </c>
      <c r="BL100" s="1039">
        <f t="shared" si="142"/>
        <v>6350.301690058019</v>
      </c>
      <c r="BM100" s="1039">
        <f t="shared" si="142"/>
        <v>5256.350977522259</v>
      </c>
      <c r="BN100" s="1039">
        <f t="shared" si="142"/>
        <v>3761.1148202553195</v>
      </c>
      <c r="BO100" s="1039">
        <f t="shared" si="142"/>
        <v>2237.227073105437</v>
      </c>
      <c r="BP100" s="1039">
        <f t="shared" si="142"/>
        <v>1124.2631406979237</v>
      </c>
      <c r="BQ100" s="1039">
        <f t="shared" si="142"/>
        <v>470.97153466963164</v>
      </c>
      <c r="BR100" s="1039">
        <f t="shared" si="142"/>
        <v>162.8840735583353</v>
      </c>
      <c r="BS100" s="1039">
        <f t="shared" si="142"/>
        <v>46.18108638450677</v>
      </c>
      <c r="BT100" s="1039">
        <f t="shared" si="142"/>
        <v>10.678658087140885</v>
      </c>
      <c r="BU100" s="1039">
        <f t="shared" si="142"/>
        <v>2.0062314682821394</v>
      </c>
      <c r="BV100" s="1039">
        <f t="shared" si="142"/>
        <v>0.30536014156619157</v>
      </c>
      <c r="BW100" s="1039">
        <f t="shared" si="142"/>
        <v>0.037571562497313686</v>
      </c>
      <c r="BX100" s="1039">
        <f t="shared" si="142"/>
        <v>0.0037306382061674686</v>
      </c>
      <c r="BY100" s="1039">
        <f t="shared" si="142"/>
        <v>0.0002985394850824908</v>
      </c>
      <c r="BZ100" s="1039">
        <f t="shared" si="142"/>
        <v>1.923312023019163E-05</v>
      </c>
      <c r="CA100" s="1077">
        <f>CA94+CA95+CA96</f>
        <v>9.96666830548487E-07</v>
      </c>
      <c r="CB100" s="1035"/>
      <c r="CC100" s="1076">
        <f>CC94+CC95+CC96</f>
        <v>5323.553242290733</v>
      </c>
      <c r="CD100" s="1039">
        <f>CD94+CD95+CD96</f>
        <v>5610.13255890533</v>
      </c>
      <c r="CE100" s="1039">
        <f>CE94+CE95+CE96</f>
        <v>5906.849947417303</v>
      </c>
      <c r="CF100" s="1039">
        <f aca="true" t="shared" si="143" ref="CF100:CV100">CF94+CF95+CF96</f>
        <v>6195.67853212318</v>
      </c>
      <c r="CG100" s="1039">
        <f t="shared" si="143"/>
        <v>6449.440238190537</v>
      </c>
      <c r="CH100" s="1039">
        <f t="shared" si="143"/>
        <v>6627.956952521479</v>
      </c>
      <c r="CI100" s="1039">
        <f t="shared" si="143"/>
        <v>6666.09408206128</v>
      </c>
      <c r="CJ100" s="1039">
        <f t="shared" si="143"/>
        <v>6478.792629698011</v>
      </c>
      <c r="CK100" s="1039">
        <f t="shared" si="143"/>
        <v>5991.155077890193</v>
      </c>
      <c r="CL100" s="1039">
        <f t="shared" si="143"/>
        <v>5185.408899240172</v>
      </c>
      <c r="CM100" s="1039">
        <f t="shared" si="143"/>
        <v>4130.095478228374</v>
      </c>
      <c r="CN100" s="1039">
        <f t="shared" si="143"/>
        <v>2841.2720823749637</v>
      </c>
      <c r="CO100" s="1039">
        <f t="shared" si="143"/>
        <v>1757.4499717913952</v>
      </c>
      <c r="CP100" s="1039">
        <f t="shared" si="143"/>
        <v>968.8466409366733</v>
      </c>
      <c r="CQ100" s="1039">
        <f t="shared" si="143"/>
        <v>472.7884383229051</v>
      </c>
      <c r="CR100" s="1039">
        <f t="shared" si="143"/>
        <v>203.15974041839974</v>
      </c>
      <c r="CS100" s="1039">
        <f t="shared" si="143"/>
        <v>76.56171400586652</v>
      </c>
      <c r="CT100" s="1039">
        <f t="shared" si="143"/>
        <v>25.224966196927273</v>
      </c>
      <c r="CU100" s="1039">
        <f t="shared" si="143"/>
        <v>7.248287933891106</v>
      </c>
      <c r="CV100" s="1039">
        <f t="shared" si="143"/>
        <v>1.8129776307371914</v>
      </c>
      <c r="CW100" s="1077">
        <f>CW94+CW95+CW96</f>
        <v>0.3941289889314402</v>
      </c>
      <c r="CX100" s="1035"/>
      <c r="CY100" s="1076">
        <f>CY94+CY95+CY96</f>
        <v>4469.101379918737</v>
      </c>
      <c r="CZ100" s="1039">
        <f>CZ94+CZ95+CZ96</f>
        <v>4710.585790927628</v>
      </c>
      <c r="DA100" s="1039">
        <f>DA94+DA95+DA96</f>
        <v>4963.279220408051</v>
      </c>
      <c r="DB100" s="1039">
        <f aca="true" t="shared" si="144" ref="DB100:DR100">DB94+DB95+DB96</f>
        <v>5217.983645657628</v>
      </c>
      <c r="DC100" s="1039">
        <f t="shared" si="144"/>
        <v>5466.56860349295</v>
      </c>
      <c r="DD100" s="1039">
        <f t="shared" si="144"/>
        <v>5704.883526902106</v>
      </c>
      <c r="DE100" s="1039">
        <f t="shared" si="144"/>
        <v>5925.116829533526</v>
      </c>
      <c r="DF100" s="1039">
        <f t="shared" si="144"/>
        <v>6109.440460513819</v>
      </c>
      <c r="DG100" s="1039">
        <f t="shared" si="144"/>
        <v>6225.450953325205</v>
      </c>
      <c r="DH100" s="1039">
        <f t="shared" si="144"/>
        <v>6225.620429819281</v>
      </c>
      <c r="DI100" s="1039">
        <f t="shared" si="144"/>
        <v>6054.781942662323</v>
      </c>
      <c r="DJ100" s="1039">
        <f t="shared" si="144"/>
        <v>5667.523704044181</v>
      </c>
      <c r="DK100" s="1039">
        <f t="shared" si="144"/>
        <v>5051.064956524018</v>
      </c>
      <c r="DL100" s="1039">
        <f t="shared" si="144"/>
        <v>4242.369427983212</v>
      </c>
      <c r="DM100" s="1039">
        <f t="shared" si="144"/>
        <v>3206.61812090625</v>
      </c>
      <c r="DN100" s="1039">
        <f t="shared" si="144"/>
        <v>2210.7140996402713</v>
      </c>
      <c r="DO100" s="1039">
        <f t="shared" si="144"/>
        <v>1403.0906914116772</v>
      </c>
      <c r="DP100" s="1039">
        <f t="shared" si="144"/>
        <v>815.5359505464069</v>
      </c>
      <c r="DQ100" s="1039">
        <f t="shared" si="144"/>
        <v>432.3077557610021</v>
      </c>
      <c r="DR100" s="1039">
        <f t="shared" si="144"/>
        <v>208.3010917768583</v>
      </c>
      <c r="DS100" s="1077">
        <f>DS94+DS95+DS96</f>
        <v>90.98862079651212</v>
      </c>
      <c r="DT100" s="1035"/>
      <c r="DU100" s="1076">
        <f>DU94+DU95+DU96</f>
        <v>3751.60287239196</v>
      </c>
      <c r="DV100" s="1039">
        <f>DV94+DV95+DV96</f>
        <v>3954.3735724512107</v>
      </c>
      <c r="DW100" s="1039">
        <f>DW94+DW95+DW96</f>
        <v>4166.729946771764</v>
      </c>
      <c r="DX100" s="1039">
        <f aca="true" t="shared" si="145" ref="DX100:EN100">DX94+DX95+DX96</f>
        <v>4381.395623787454</v>
      </c>
      <c r="DY100" s="1039">
        <f t="shared" si="145"/>
        <v>4592.858717924004</v>
      </c>
      <c r="DZ100" s="1039">
        <f t="shared" si="145"/>
        <v>4801.02023474928</v>
      </c>
      <c r="EA100" s="1039">
        <f t="shared" si="145"/>
        <v>5006.895794667476</v>
      </c>
      <c r="EB100" s="1039">
        <f t="shared" si="145"/>
        <v>5210.062511686479</v>
      </c>
      <c r="EC100" s="1039">
        <f t="shared" si="145"/>
        <v>5406.825537782043</v>
      </c>
      <c r="ED100" s="1039">
        <f t="shared" si="145"/>
        <v>5588.002190329162</v>
      </c>
      <c r="EE100" s="1039">
        <f t="shared" si="145"/>
        <v>5736.426185350732</v>
      </c>
      <c r="EF100" s="1039">
        <f t="shared" si="145"/>
        <v>5825.266097173194</v>
      </c>
      <c r="EG100" s="1039">
        <f t="shared" si="145"/>
        <v>5819.026741833825</v>
      </c>
      <c r="EH100" s="1039">
        <f t="shared" si="145"/>
        <v>5679.074726933469</v>
      </c>
      <c r="EI100" s="1039">
        <f t="shared" si="145"/>
        <v>5374.043837830774</v>
      </c>
      <c r="EJ100" s="1039">
        <f t="shared" si="145"/>
        <v>4892.653475555415</v>
      </c>
      <c r="EK100" s="1039">
        <f t="shared" si="145"/>
        <v>4253.741314290723</v>
      </c>
      <c r="EL100" s="1039">
        <f t="shared" si="145"/>
        <v>3438.872724957658</v>
      </c>
      <c r="EM100" s="1039">
        <f t="shared" si="145"/>
        <v>2536.834690124495</v>
      </c>
      <c r="EN100" s="1039">
        <f t="shared" si="145"/>
        <v>1755.720634306614</v>
      </c>
      <c r="EO100" s="1077">
        <f>EO94+EO95+EO96</f>
        <v>1135.240522549229</v>
      </c>
    </row>
    <row r="101" spans="30:145" ht="12.75">
      <c r="AD101" s="1075">
        <f>(1+4*lambda*[0]!alpha.x/[0]!Vc)^0.5</f>
        <v>1.3771653826315728</v>
      </c>
      <c r="AK101" s="1066"/>
      <c r="AL101" s="766"/>
      <c r="AM101" s="766"/>
      <c r="AN101" s="766"/>
      <c r="AO101" s="766"/>
      <c r="AP101" s="766"/>
      <c r="AQ101" s="766"/>
      <c r="AR101" s="766"/>
      <c r="AS101" s="766"/>
      <c r="AT101" s="766"/>
      <c r="AU101" s="766"/>
      <c r="AV101" s="766"/>
      <c r="AW101" s="766"/>
      <c r="AX101" s="766"/>
      <c r="AY101" s="766"/>
      <c r="AZ101" s="766"/>
      <c r="BA101" s="766"/>
      <c r="BB101" s="766"/>
      <c r="BC101" s="766"/>
      <c r="BD101" s="766"/>
      <c r="BE101" s="1067"/>
      <c r="BG101" s="1066"/>
      <c r="BH101" s="766"/>
      <c r="BI101" s="766"/>
      <c r="BJ101" s="766"/>
      <c r="BK101" s="766"/>
      <c r="BL101" s="766"/>
      <c r="BM101" s="766"/>
      <c r="BN101" s="766"/>
      <c r="BO101" s="766"/>
      <c r="BP101" s="766"/>
      <c r="BQ101" s="766"/>
      <c r="BR101" s="766"/>
      <c r="BS101" s="766"/>
      <c r="BT101" s="766"/>
      <c r="BU101" s="766"/>
      <c r="BV101" s="766"/>
      <c r="BW101" s="766"/>
      <c r="BX101" s="766"/>
      <c r="BY101" s="766"/>
      <c r="BZ101" s="766"/>
      <c r="CA101" s="1067"/>
      <c r="CC101" s="1066"/>
      <c r="CD101" s="766"/>
      <c r="CE101" s="766"/>
      <c r="CF101" s="766"/>
      <c r="CG101" s="766"/>
      <c r="CH101" s="766"/>
      <c r="CI101" s="766"/>
      <c r="CJ101" s="766"/>
      <c r="CK101" s="766"/>
      <c r="CL101" s="766"/>
      <c r="CM101" s="766"/>
      <c r="CN101" s="766"/>
      <c r="CO101" s="766"/>
      <c r="CP101" s="766"/>
      <c r="CQ101" s="766"/>
      <c r="CR101" s="766"/>
      <c r="CS101" s="766"/>
      <c r="CT101" s="766"/>
      <c r="CU101" s="766"/>
      <c r="CV101" s="766"/>
      <c r="CW101" s="1067"/>
      <c r="CY101" s="1066"/>
      <c r="CZ101" s="766"/>
      <c r="DA101" s="766"/>
      <c r="DB101" s="766"/>
      <c r="DC101" s="766"/>
      <c r="DD101" s="766"/>
      <c r="DE101" s="766"/>
      <c r="DF101" s="766"/>
      <c r="DG101" s="766"/>
      <c r="DH101" s="766"/>
      <c r="DI101" s="766"/>
      <c r="DJ101" s="766"/>
      <c r="DK101" s="766"/>
      <c r="DL101" s="766"/>
      <c r="DM101" s="766"/>
      <c r="DN101" s="766"/>
      <c r="DO101" s="766"/>
      <c r="DP101" s="766"/>
      <c r="DQ101" s="766"/>
      <c r="DR101" s="766"/>
      <c r="DS101" s="1067"/>
      <c r="DU101" s="1066"/>
      <c r="DV101" s="766"/>
      <c r="DW101" s="766"/>
      <c r="DX101" s="766"/>
      <c r="DY101" s="766"/>
      <c r="DZ101" s="766"/>
      <c r="EA101" s="766"/>
      <c r="EB101" s="766"/>
      <c r="EC101" s="766"/>
      <c r="ED101" s="766"/>
      <c r="EE101" s="766"/>
      <c r="EF101" s="766"/>
      <c r="EG101" s="766"/>
      <c r="EH101" s="766"/>
      <c r="EI101" s="766"/>
      <c r="EJ101" s="766"/>
      <c r="EK101" s="766"/>
      <c r="EL101" s="766"/>
      <c r="EM101" s="766"/>
      <c r="EN101" s="766"/>
      <c r="EO101" s="1067"/>
    </row>
    <row r="102" spans="28:145" ht="12.75">
      <c r="AB102" s="1044" t="s">
        <v>134</v>
      </c>
      <c r="AD102" s="1078"/>
      <c r="AK102" s="1066"/>
      <c r="AL102" s="766"/>
      <c r="AM102" s="766"/>
      <c r="AN102" s="766"/>
      <c r="AO102" s="766"/>
      <c r="AP102" s="766"/>
      <c r="AQ102" s="766"/>
      <c r="AR102" s="766"/>
      <c r="AS102" s="766"/>
      <c r="AT102" s="766"/>
      <c r="AU102" s="766"/>
      <c r="AV102" s="766"/>
      <c r="AW102" s="766"/>
      <c r="AX102" s="766"/>
      <c r="AY102" s="766"/>
      <c r="AZ102" s="766"/>
      <c r="BA102" s="766"/>
      <c r="BB102" s="766"/>
      <c r="BC102" s="766"/>
      <c r="BD102" s="766"/>
      <c r="BE102" s="1067"/>
      <c r="BG102" s="1066"/>
      <c r="BH102" s="766"/>
      <c r="BI102" s="766"/>
      <c r="BJ102" s="766"/>
      <c r="BK102" s="766"/>
      <c r="BL102" s="766"/>
      <c r="BM102" s="766"/>
      <c r="BN102" s="766"/>
      <c r="BO102" s="766"/>
      <c r="BP102" s="766"/>
      <c r="BQ102" s="766"/>
      <c r="BR102" s="766"/>
      <c r="BS102" s="766"/>
      <c r="BT102" s="766"/>
      <c r="BU102" s="766"/>
      <c r="BV102" s="766"/>
      <c r="BW102" s="766"/>
      <c r="BX102" s="766"/>
      <c r="BY102" s="766"/>
      <c r="BZ102" s="766"/>
      <c r="CA102" s="1067"/>
      <c r="CC102" s="1066"/>
      <c r="CD102" s="766"/>
      <c r="CE102" s="766"/>
      <c r="CF102" s="766"/>
      <c r="CG102" s="766"/>
      <c r="CH102" s="766"/>
      <c r="CI102" s="766"/>
      <c r="CJ102" s="766"/>
      <c r="CK102" s="766"/>
      <c r="CL102" s="766"/>
      <c r="CM102" s="766"/>
      <c r="CN102" s="766"/>
      <c r="CO102" s="766"/>
      <c r="CP102" s="766"/>
      <c r="CQ102" s="766"/>
      <c r="CR102" s="766"/>
      <c r="CS102" s="766"/>
      <c r="CT102" s="766"/>
      <c r="CU102" s="766"/>
      <c r="CV102" s="766"/>
      <c r="CW102" s="1067"/>
      <c r="CY102" s="1066"/>
      <c r="CZ102" s="766"/>
      <c r="DA102" s="766"/>
      <c r="DB102" s="766"/>
      <c r="DC102" s="766"/>
      <c r="DD102" s="766"/>
      <c r="DE102" s="766"/>
      <c r="DF102" s="766"/>
      <c r="DG102" s="766"/>
      <c r="DH102" s="766"/>
      <c r="DI102" s="766"/>
      <c r="DJ102" s="766"/>
      <c r="DK102" s="766"/>
      <c r="DL102" s="766"/>
      <c r="DM102" s="766"/>
      <c r="DN102" s="766"/>
      <c r="DO102" s="766"/>
      <c r="DP102" s="766"/>
      <c r="DQ102" s="766"/>
      <c r="DR102" s="766"/>
      <c r="DS102" s="1067"/>
      <c r="DU102" s="1066"/>
      <c r="DV102" s="766"/>
      <c r="DW102" s="766"/>
      <c r="DX102" s="766"/>
      <c r="DY102" s="766"/>
      <c r="DZ102" s="766"/>
      <c r="EA102" s="766"/>
      <c r="EB102" s="766"/>
      <c r="EC102" s="766"/>
      <c r="ED102" s="766"/>
      <c r="EE102" s="766"/>
      <c r="EF102" s="766"/>
      <c r="EG102" s="766"/>
      <c r="EH102" s="766"/>
      <c r="EI102" s="766"/>
      <c r="EJ102" s="766"/>
      <c r="EK102" s="766"/>
      <c r="EL102" s="766"/>
      <c r="EM102" s="766"/>
      <c r="EN102" s="766"/>
      <c r="EO102" s="1067"/>
    </row>
    <row r="103" spans="28:145" ht="12.75">
      <c r="AB103" s="1046" t="s">
        <v>123</v>
      </c>
      <c r="AD103" s="1079">
        <f>EXP(AD82/2/[0]!alpha.x*(1-erfcconst3_1))</f>
        <v>0.12215680785666122</v>
      </c>
      <c r="AK103" s="1066"/>
      <c r="AL103" s="766"/>
      <c r="AM103" s="766"/>
      <c r="AN103" s="766"/>
      <c r="AO103" s="766"/>
      <c r="AP103" s="766"/>
      <c r="AQ103" s="766"/>
      <c r="AR103" s="766"/>
      <c r="AS103" s="766"/>
      <c r="AT103" s="766"/>
      <c r="AU103" s="766"/>
      <c r="AV103" s="766"/>
      <c r="AW103" s="766"/>
      <c r="AX103" s="766"/>
      <c r="AY103" s="766"/>
      <c r="AZ103" s="766"/>
      <c r="BA103" s="766"/>
      <c r="BB103" s="766"/>
      <c r="BC103" s="766"/>
      <c r="BD103" s="766"/>
      <c r="BE103" s="1067"/>
      <c r="BG103" s="1066"/>
      <c r="BH103" s="766"/>
      <c r="BI103" s="766"/>
      <c r="BJ103" s="766"/>
      <c r="BK103" s="766"/>
      <c r="BL103" s="766"/>
      <c r="BM103" s="766"/>
      <c r="BN103" s="766"/>
      <c r="BO103" s="766"/>
      <c r="BP103" s="766"/>
      <c r="BQ103" s="766"/>
      <c r="BR103" s="766"/>
      <c r="BS103" s="766"/>
      <c r="BT103" s="766"/>
      <c r="BU103" s="766"/>
      <c r="BV103" s="766"/>
      <c r="BW103" s="766"/>
      <c r="BX103" s="766"/>
      <c r="BY103" s="766"/>
      <c r="BZ103" s="766"/>
      <c r="CA103" s="1067"/>
      <c r="CC103" s="1066"/>
      <c r="CD103" s="766"/>
      <c r="CE103" s="766"/>
      <c r="CF103" s="766"/>
      <c r="CG103" s="766"/>
      <c r="CH103" s="766"/>
      <c r="CI103" s="766"/>
      <c r="CJ103" s="766"/>
      <c r="CK103" s="766"/>
      <c r="CL103" s="766"/>
      <c r="CM103" s="766"/>
      <c r="CN103" s="766"/>
      <c r="CO103" s="766"/>
      <c r="CP103" s="766"/>
      <c r="CQ103" s="766"/>
      <c r="CR103" s="766"/>
      <c r="CS103" s="766"/>
      <c r="CT103" s="766"/>
      <c r="CU103" s="766"/>
      <c r="CV103" s="766"/>
      <c r="CW103" s="1067"/>
      <c r="CY103" s="1066"/>
      <c r="CZ103" s="766"/>
      <c r="DA103" s="766"/>
      <c r="DB103" s="766"/>
      <c r="DC103" s="766"/>
      <c r="DD103" s="766"/>
      <c r="DE103" s="766"/>
      <c r="DF103" s="766"/>
      <c r="DG103" s="766"/>
      <c r="DH103" s="766"/>
      <c r="DI103" s="766"/>
      <c r="DJ103" s="766"/>
      <c r="DK103" s="766"/>
      <c r="DL103" s="766"/>
      <c r="DM103" s="766"/>
      <c r="DN103" s="766"/>
      <c r="DO103" s="766"/>
      <c r="DP103" s="766"/>
      <c r="DQ103" s="766"/>
      <c r="DR103" s="766"/>
      <c r="DS103" s="1067"/>
      <c r="DU103" s="1066"/>
      <c r="DV103" s="766"/>
      <c r="DW103" s="766"/>
      <c r="DX103" s="766"/>
      <c r="DY103" s="766"/>
      <c r="DZ103" s="766"/>
      <c r="EA103" s="766"/>
      <c r="EB103" s="766"/>
      <c r="EC103" s="766"/>
      <c r="ED103" s="766"/>
      <c r="EE103" s="766"/>
      <c r="EF103" s="766"/>
      <c r="EG103" s="766"/>
      <c r="EH103" s="766"/>
      <c r="EI103" s="766"/>
      <c r="EJ103" s="766"/>
      <c r="EK103" s="766"/>
      <c r="EL103" s="766"/>
      <c r="EM103" s="766"/>
      <c r="EN103" s="766"/>
      <c r="EO103" s="1067"/>
    </row>
    <row r="104" spans="28:145" ht="12.75">
      <c r="AB104" s="1042" t="s">
        <v>124</v>
      </c>
      <c r="AD104" s="1075">
        <f>(AD82-Vc*t_SWLoad*erfcconst3_1)/erfcconst2_2</f>
        <v>-4.702792204380337</v>
      </c>
      <c r="AJ104" s="1044" t="s">
        <v>134</v>
      </c>
      <c r="AK104" s="1066"/>
      <c r="AL104" s="766"/>
      <c r="AM104" s="766"/>
      <c r="AN104" s="766"/>
      <c r="AO104" s="766"/>
      <c r="AP104" s="766"/>
      <c r="AQ104" s="766"/>
      <c r="AR104" s="766"/>
      <c r="AS104" s="766"/>
      <c r="AT104" s="766"/>
      <c r="AU104" s="766"/>
      <c r="AV104" s="766"/>
      <c r="AW104" s="766"/>
      <c r="AX104" s="766"/>
      <c r="AY104" s="766"/>
      <c r="AZ104" s="766"/>
      <c r="BA104" s="766"/>
      <c r="BB104" s="766"/>
      <c r="BC104" s="766"/>
      <c r="BD104" s="766"/>
      <c r="BE104" s="1067"/>
      <c r="BG104" s="1066"/>
      <c r="BH104" s="766"/>
      <c r="BI104" s="766"/>
      <c r="BJ104" s="766"/>
      <c r="BK104" s="766"/>
      <c r="BL104" s="766"/>
      <c r="BM104" s="766"/>
      <c r="BN104" s="766"/>
      <c r="BO104" s="766"/>
      <c r="BP104" s="766"/>
      <c r="BQ104" s="766"/>
      <c r="BR104" s="766"/>
      <c r="BS104" s="766"/>
      <c r="BT104" s="766"/>
      <c r="BU104" s="766"/>
      <c r="BV104" s="766"/>
      <c r="BW104" s="766"/>
      <c r="BX104" s="766"/>
      <c r="BY104" s="766"/>
      <c r="BZ104" s="766"/>
      <c r="CA104" s="1067"/>
      <c r="CC104" s="1066"/>
      <c r="CD104" s="766"/>
      <c r="CE104" s="766"/>
      <c r="CF104" s="766"/>
      <c r="CG104" s="766"/>
      <c r="CH104" s="766"/>
      <c r="CI104" s="766"/>
      <c r="CJ104" s="766"/>
      <c r="CK104" s="766"/>
      <c r="CL104" s="766"/>
      <c r="CM104" s="766"/>
      <c r="CN104" s="766"/>
      <c r="CO104" s="766"/>
      <c r="CP104" s="766"/>
      <c r="CQ104" s="766"/>
      <c r="CR104" s="766"/>
      <c r="CS104" s="766"/>
      <c r="CT104" s="766"/>
      <c r="CU104" s="766"/>
      <c r="CV104" s="766"/>
      <c r="CW104" s="1067"/>
      <c r="CY104" s="1066"/>
      <c r="CZ104" s="766"/>
      <c r="DA104" s="766"/>
      <c r="DB104" s="766"/>
      <c r="DC104" s="766"/>
      <c r="DD104" s="766"/>
      <c r="DE104" s="766"/>
      <c r="DF104" s="766"/>
      <c r="DG104" s="766"/>
      <c r="DH104" s="766"/>
      <c r="DI104" s="766"/>
      <c r="DJ104" s="766"/>
      <c r="DK104" s="766"/>
      <c r="DL104" s="766"/>
      <c r="DM104" s="766"/>
      <c r="DN104" s="766"/>
      <c r="DO104" s="766"/>
      <c r="DP104" s="766"/>
      <c r="DQ104" s="766"/>
      <c r="DR104" s="766"/>
      <c r="DS104" s="1067"/>
      <c r="DU104" s="1066"/>
      <c r="DV104" s="766"/>
      <c r="DW104" s="766"/>
      <c r="DX104" s="766"/>
      <c r="DY104" s="766"/>
      <c r="DZ104" s="766"/>
      <c r="EA104" s="766"/>
      <c r="EB104" s="766"/>
      <c r="EC104" s="766"/>
      <c r="ED104" s="766"/>
      <c r="EE104" s="766"/>
      <c r="EF104" s="766"/>
      <c r="EG104" s="766"/>
      <c r="EH104" s="766"/>
      <c r="EI104" s="766"/>
      <c r="EJ104" s="766"/>
      <c r="EK104" s="766"/>
      <c r="EL104" s="766"/>
      <c r="EM104" s="766"/>
      <c r="EN104" s="766"/>
      <c r="EO104" s="1067"/>
    </row>
    <row r="105" spans="28:145" ht="12.75">
      <c r="AB105" s="1046" t="s">
        <v>125</v>
      </c>
      <c r="AD105" s="1079">
        <f>gerfC(AD104)</f>
        <v>1.9999999999708402</v>
      </c>
      <c r="AJ105" s="1046" t="s">
        <v>123</v>
      </c>
      <c r="AK105" s="1072">
        <f>EXP(AK$84/2/[0]!alpha.x*(1-erfcconst3_1))</f>
        <v>0.9999999999859837</v>
      </c>
      <c r="AL105" s="1048">
        <f>EXP(AL$84/2/[0]!alpha.x*(1-erfcconst3_1))</f>
        <v>0.5708360339707746</v>
      </c>
      <c r="AM105" s="1048">
        <f>EXP(AM$84/2/[0]!alpha.x*(1-erfcconst3_1))</f>
        <v>0.32585377768405066</v>
      </c>
      <c r="AN105" s="1048">
        <f>EXP(AN$84/2/[0]!alpha.x*(1-erfcconst3_1))</f>
        <v>0.18600907811016515</v>
      </c>
      <c r="AO105" s="1048">
        <f>EXP(AO$84/2/[0]!alpha.x*(1-erfcconst3_1))</f>
        <v>0.10618068443245497</v>
      </c>
      <c r="AP105" s="1048">
        <f>EXP(AP$84/2/[0]!alpha.x*(1-erfcconst3_1))</f>
        <v>0.060611760786574535</v>
      </c>
      <c r="AQ105" s="1048">
        <f>EXP(AQ$84/2/[0]!alpha.x*(1-erfcconst3_1))</f>
        <v>0.03459937713987849</v>
      </c>
      <c r="AR105" s="1048">
        <f>EXP(AR$84/2/[0]!alpha.x*(1-erfcconst3_1))</f>
        <v>0.019750571224664153</v>
      </c>
      <c r="AS105" s="1048">
        <f>EXP(AS$84/2/[0]!alpha.x*(1-erfcconst3_1))</f>
        <v>0.011274337746702612</v>
      </c>
      <c r="AT105" s="1048">
        <f>EXP(AT$84/2/[0]!alpha.x*(1-erfcconst3_1))</f>
        <v>0.006435798245064924</v>
      </c>
      <c r="AU105" s="1048">
        <f>EXP(AU$84/2/[0]!alpha.x*(1-erfcconst3_1))</f>
        <v>0.0036737855457004277</v>
      </c>
      <c r="AV105" s="1048">
        <f>EXP(AV$84/2/[0]!alpha.x*(1-erfcconst3_1))</f>
        <v>0.0020971291705961835</v>
      </c>
      <c r="AW105" s="1048">
        <f>EXP(AW$84/2/[0]!alpha.x*(1-erfcconst3_1))</f>
        <v>0.0011971168984843243</v>
      </c>
      <c r="AX105" s="1048">
        <f>EXP(AX$84/2/[0]!alpha.x*(1-erfcconst3_1))</f>
        <v>0.0006833574625397646</v>
      </c>
      <c r="AY105" s="1048">
        <f>EXP(AY$84/2/[0]!alpha.x*(1-erfcconst3_1))</f>
        <v>0.0003900850637059989</v>
      </c>
      <c r="AZ105" s="1048">
        <f>EXP(AZ$84/2/[0]!alpha.x*(1-erfcconst3_1))</f>
        <v>0.00022267461068029059</v>
      </c>
      <c r="BA105" s="1048">
        <f>EXP(BA$84/2/[0]!alpha.x*(1-erfcconst3_1))</f>
        <v>0.00012711069162850509</v>
      </c>
      <c r="BB105" s="1048">
        <f>EXP(BB$84/2/[0]!alpha.x*(1-erfcconst3_1))</f>
        <v>7.255936308551491E-05</v>
      </c>
      <c r="BC105" s="1048">
        <f>EXP(BC$84/2/[0]!alpha.x*(1-erfcconst3_1))</f>
        <v>4.141949905176126E-05</v>
      </c>
      <c r="BD105" s="1048">
        <f>EXP(BD$84/2/[0]!alpha.x*(1-erfcconst3_1))</f>
        <v>2.364374256809507E-05</v>
      </c>
      <c r="BE105" s="1073">
        <f>EXP(BE$84/2/[0]!alpha.x*(1-erfcconst3_1))</f>
        <v>1.3496700235986551E-05</v>
      </c>
      <c r="BG105" s="1072">
        <f>EXP(BG$84/2/[0]!alpha.x*(1-erfcconst3_1))</f>
        <v>0.9999999999859837</v>
      </c>
      <c r="BH105" s="1048">
        <f>EXP(BH$84/2/[0]!alpha.x*(1-erfcconst3_1))</f>
        <v>0.5708360339707746</v>
      </c>
      <c r="BI105" s="1048">
        <f>EXP(BI$84/2/[0]!alpha.x*(1-erfcconst3_1))</f>
        <v>0.32585377768405066</v>
      </c>
      <c r="BJ105" s="1048">
        <f>EXP(BJ$84/2/[0]!alpha.x*(1-erfcconst3_1))</f>
        <v>0.18600907811016515</v>
      </c>
      <c r="BK105" s="1048">
        <f>EXP(BK$84/2/[0]!alpha.x*(1-erfcconst3_1))</f>
        <v>0.10618068443245497</v>
      </c>
      <c r="BL105" s="1048">
        <f>EXP(BL$84/2/[0]!alpha.x*(1-erfcconst3_1))</f>
        <v>0.060611760786574535</v>
      </c>
      <c r="BM105" s="1048">
        <f>EXP(BM$84/2/[0]!alpha.x*(1-erfcconst3_1))</f>
        <v>0.03459937713987849</v>
      </c>
      <c r="BN105" s="1048">
        <f>EXP(BN$84/2/[0]!alpha.x*(1-erfcconst3_1))</f>
        <v>0.019750571224664153</v>
      </c>
      <c r="BO105" s="1048">
        <f>EXP(BO$84/2/[0]!alpha.x*(1-erfcconst3_1))</f>
        <v>0.011274337746702612</v>
      </c>
      <c r="BP105" s="1048">
        <f>EXP(BP$84/2/[0]!alpha.x*(1-erfcconst3_1))</f>
        <v>0.006435798245064924</v>
      </c>
      <c r="BQ105" s="1048">
        <f>EXP(BQ$84/2/[0]!alpha.x*(1-erfcconst3_1))</f>
        <v>0.0036737855457004277</v>
      </c>
      <c r="BR105" s="1048">
        <f>EXP(BR$84/2/[0]!alpha.x*(1-erfcconst3_1))</f>
        <v>0.0020971291705961835</v>
      </c>
      <c r="BS105" s="1048">
        <f>EXP(BS$84/2/[0]!alpha.x*(1-erfcconst3_1))</f>
        <v>0.0011971168984843243</v>
      </c>
      <c r="BT105" s="1048">
        <f>EXP(BT$84/2/[0]!alpha.x*(1-erfcconst3_1))</f>
        <v>0.0006833574625397646</v>
      </c>
      <c r="BU105" s="1048">
        <f>EXP(BU$84/2/[0]!alpha.x*(1-erfcconst3_1))</f>
        <v>0.0003900850637059989</v>
      </c>
      <c r="BV105" s="1048">
        <f>EXP(BV$84/2/[0]!alpha.x*(1-erfcconst3_1))</f>
        <v>0.00022267461068029059</v>
      </c>
      <c r="BW105" s="1048">
        <f>EXP(BW$84/2/[0]!alpha.x*(1-erfcconst3_1))</f>
        <v>0.00012711069162850509</v>
      </c>
      <c r="BX105" s="1048">
        <f>EXP(BX$84/2/[0]!alpha.x*(1-erfcconst3_1))</f>
        <v>7.255936308551491E-05</v>
      </c>
      <c r="BY105" s="1048">
        <f>EXP(BY$84/2/[0]!alpha.x*(1-erfcconst3_1))</f>
        <v>4.141949905176126E-05</v>
      </c>
      <c r="BZ105" s="1048">
        <f>EXP(BZ$84/2/[0]!alpha.x*(1-erfcconst3_1))</f>
        <v>2.364374256809507E-05</v>
      </c>
      <c r="CA105" s="1073">
        <f>EXP(CA$84/2/[0]!alpha.x*(1-erfcconst3_1))</f>
        <v>1.3496700235986551E-05</v>
      </c>
      <c r="CC105" s="1072">
        <f>EXP(CC$84/2/[0]!alpha.x*(1-erfcconst3_1))</f>
        <v>0.9999999999859837</v>
      </c>
      <c r="CD105" s="1048">
        <f>EXP(CD$84/2/[0]!alpha.x*(1-erfcconst3_1))</f>
        <v>0.5708360339707746</v>
      </c>
      <c r="CE105" s="1048">
        <f>EXP(CE$84/2/[0]!alpha.x*(1-erfcconst3_1))</f>
        <v>0.32585377768405066</v>
      </c>
      <c r="CF105" s="1048">
        <f>EXP(CF$84/2/[0]!alpha.x*(1-erfcconst3_1))</f>
        <v>0.18600907811016515</v>
      </c>
      <c r="CG105" s="1048">
        <f>EXP(CG$84/2/[0]!alpha.x*(1-erfcconst3_1))</f>
        <v>0.10618068443245497</v>
      </c>
      <c r="CH105" s="1048">
        <f>EXP(CH$84/2/[0]!alpha.x*(1-erfcconst3_1))</f>
        <v>0.060611760786574535</v>
      </c>
      <c r="CI105" s="1048">
        <f>EXP(CI$84/2/[0]!alpha.x*(1-erfcconst3_1))</f>
        <v>0.03459937713987849</v>
      </c>
      <c r="CJ105" s="1048">
        <f>EXP(CJ$84/2/[0]!alpha.x*(1-erfcconst3_1))</f>
        <v>0.019750571224664153</v>
      </c>
      <c r="CK105" s="1048">
        <f>EXP(CK$84/2/[0]!alpha.x*(1-erfcconst3_1))</f>
        <v>0.011274337746702612</v>
      </c>
      <c r="CL105" s="1048">
        <f>EXP(CL$84/2/[0]!alpha.x*(1-erfcconst3_1))</f>
        <v>0.006435798245064924</v>
      </c>
      <c r="CM105" s="1048">
        <f>EXP(CM$84/2/[0]!alpha.x*(1-erfcconst3_1))</f>
        <v>0.0036737855457004277</v>
      </c>
      <c r="CN105" s="1048">
        <f>EXP(CN$84/2/[0]!alpha.x*(1-erfcconst3_1))</f>
        <v>0.0020971291705961835</v>
      </c>
      <c r="CO105" s="1048">
        <f>EXP(CO$84/2/[0]!alpha.x*(1-erfcconst3_1))</f>
        <v>0.0011971168984843243</v>
      </c>
      <c r="CP105" s="1048">
        <f>EXP(CP$84/2/[0]!alpha.x*(1-erfcconst3_1))</f>
        <v>0.0006833574625397646</v>
      </c>
      <c r="CQ105" s="1048">
        <f>EXP(CQ$84/2/[0]!alpha.x*(1-erfcconst3_1))</f>
        <v>0.0003900850637059989</v>
      </c>
      <c r="CR105" s="1048">
        <f>EXP(CR$84/2/[0]!alpha.x*(1-erfcconst3_1))</f>
        <v>0.00022267461068029059</v>
      </c>
      <c r="CS105" s="1048">
        <f>EXP(CS$84/2/[0]!alpha.x*(1-erfcconst3_1))</f>
        <v>0.00012711069162850509</v>
      </c>
      <c r="CT105" s="1048">
        <f>EXP(CT$84/2/[0]!alpha.x*(1-erfcconst3_1))</f>
        <v>7.255936308551491E-05</v>
      </c>
      <c r="CU105" s="1048">
        <f>EXP(CU$84/2/[0]!alpha.x*(1-erfcconst3_1))</f>
        <v>4.141949905176126E-05</v>
      </c>
      <c r="CV105" s="1048">
        <f>EXP(CV$84/2/[0]!alpha.x*(1-erfcconst3_1))</f>
        <v>2.364374256809507E-05</v>
      </c>
      <c r="CW105" s="1073">
        <f>EXP(CW$84/2/[0]!alpha.x*(1-erfcconst3_1))</f>
        <v>1.3496700235986551E-05</v>
      </c>
      <c r="CY105" s="1072">
        <f>EXP(CY$84/2/[0]!alpha.x*(1-erfcconst3_1))</f>
        <v>0.9999999999859837</v>
      </c>
      <c r="CZ105" s="1048">
        <f>EXP(CZ$84/2/[0]!alpha.x*(1-erfcconst3_1))</f>
        <v>0.5708360339707746</v>
      </c>
      <c r="DA105" s="1048">
        <f>EXP(DA$84/2/[0]!alpha.x*(1-erfcconst3_1))</f>
        <v>0.32585377768405066</v>
      </c>
      <c r="DB105" s="1048">
        <f>EXP(DB$84/2/[0]!alpha.x*(1-erfcconst3_1))</f>
        <v>0.18600907811016515</v>
      </c>
      <c r="DC105" s="1048">
        <f>EXP(DC$84/2/[0]!alpha.x*(1-erfcconst3_1))</f>
        <v>0.10618068443245497</v>
      </c>
      <c r="DD105" s="1048">
        <f>EXP(DD$84/2/[0]!alpha.x*(1-erfcconst3_1))</f>
        <v>0.060611760786574535</v>
      </c>
      <c r="DE105" s="1048">
        <f>EXP(DE$84/2/[0]!alpha.x*(1-erfcconst3_1))</f>
        <v>0.03459937713987849</v>
      </c>
      <c r="DF105" s="1048">
        <f>EXP(DF$84/2/[0]!alpha.x*(1-erfcconst3_1))</f>
        <v>0.019750571224664153</v>
      </c>
      <c r="DG105" s="1048">
        <f>EXP(DG$84/2/[0]!alpha.x*(1-erfcconst3_1))</f>
        <v>0.011274337746702612</v>
      </c>
      <c r="DH105" s="1048">
        <f>EXP(DH$84/2/[0]!alpha.x*(1-erfcconst3_1))</f>
        <v>0.006435798245064924</v>
      </c>
      <c r="DI105" s="1048">
        <f>EXP(DI$84/2/[0]!alpha.x*(1-erfcconst3_1))</f>
        <v>0.0036737855457004277</v>
      </c>
      <c r="DJ105" s="1048">
        <f>EXP(DJ$84/2/[0]!alpha.x*(1-erfcconst3_1))</f>
        <v>0.0020971291705961835</v>
      </c>
      <c r="DK105" s="1048">
        <f>EXP(DK$84/2/[0]!alpha.x*(1-erfcconst3_1))</f>
        <v>0.0011971168984843243</v>
      </c>
      <c r="DL105" s="1048">
        <f>EXP(DL$84/2/[0]!alpha.x*(1-erfcconst3_1))</f>
        <v>0.0006833574625397646</v>
      </c>
      <c r="DM105" s="1048">
        <f>EXP(DM$84/2/[0]!alpha.x*(1-erfcconst3_1))</f>
        <v>0.0003900850637059989</v>
      </c>
      <c r="DN105" s="1048">
        <f>EXP(DN$84/2/[0]!alpha.x*(1-erfcconst3_1))</f>
        <v>0.00022267461068029059</v>
      </c>
      <c r="DO105" s="1048">
        <f>EXP(DO$84/2/[0]!alpha.x*(1-erfcconst3_1))</f>
        <v>0.00012711069162850509</v>
      </c>
      <c r="DP105" s="1048">
        <f>EXP(DP$84/2/[0]!alpha.x*(1-erfcconst3_1))</f>
        <v>7.255936308551491E-05</v>
      </c>
      <c r="DQ105" s="1048">
        <f>EXP(DQ$84/2/[0]!alpha.x*(1-erfcconst3_1))</f>
        <v>4.141949905176126E-05</v>
      </c>
      <c r="DR105" s="1048">
        <f>EXP(DR$84/2/[0]!alpha.x*(1-erfcconst3_1))</f>
        <v>2.364374256809507E-05</v>
      </c>
      <c r="DS105" s="1073">
        <f>EXP(DS$84/2/[0]!alpha.x*(1-erfcconst3_1))</f>
        <v>1.3496700235986551E-05</v>
      </c>
      <c r="DU105" s="1072">
        <f>EXP(DU$84/2/[0]!alpha.x*(1-erfcconst3_1))</f>
        <v>0.9999999999859837</v>
      </c>
      <c r="DV105" s="1048">
        <f>EXP(DV$84/2/[0]!alpha.x*(1-erfcconst3_1))</f>
        <v>0.5708360339707746</v>
      </c>
      <c r="DW105" s="1048">
        <f>EXP(DW$84/2/[0]!alpha.x*(1-erfcconst3_1))</f>
        <v>0.32585377768405066</v>
      </c>
      <c r="DX105" s="1048">
        <f>EXP(DX$84/2/[0]!alpha.x*(1-erfcconst3_1))</f>
        <v>0.18600907811016515</v>
      </c>
      <c r="DY105" s="1048">
        <f>EXP(DY$84/2/[0]!alpha.x*(1-erfcconst3_1))</f>
        <v>0.10618068443245497</v>
      </c>
      <c r="DZ105" s="1048">
        <f>EXP(DZ$84/2/[0]!alpha.x*(1-erfcconst3_1))</f>
        <v>0.060611760786574535</v>
      </c>
      <c r="EA105" s="1048">
        <f>EXP(EA$84/2/[0]!alpha.x*(1-erfcconst3_1))</f>
        <v>0.03459937713987849</v>
      </c>
      <c r="EB105" s="1048">
        <f>EXP(EB$84/2/[0]!alpha.x*(1-erfcconst3_1))</f>
        <v>0.019750571224664153</v>
      </c>
      <c r="EC105" s="1048">
        <f>EXP(EC$84/2/[0]!alpha.x*(1-erfcconst3_1))</f>
        <v>0.011274337746702612</v>
      </c>
      <c r="ED105" s="1048">
        <f>EXP(ED$84/2/[0]!alpha.x*(1-erfcconst3_1))</f>
        <v>0.006435798245064924</v>
      </c>
      <c r="EE105" s="1048">
        <f>EXP(EE$84/2/[0]!alpha.x*(1-erfcconst3_1))</f>
        <v>0.0036737855457004277</v>
      </c>
      <c r="EF105" s="1048">
        <f>EXP(EF$84/2/[0]!alpha.x*(1-erfcconst3_1))</f>
        <v>0.0020971291705961835</v>
      </c>
      <c r="EG105" s="1048">
        <f>EXP(EG$84/2/[0]!alpha.x*(1-erfcconst3_1))</f>
        <v>0.0011971168984843243</v>
      </c>
      <c r="EH105" s="1048">
        <f>EXP(EH$84/2/[0]!alpha.x*(1-erfcconst3_1))</f>
        <v>0.0006833574625397646</v>
      </c>
      <c r="EI105" s="1048">
        <f>EXP(EI$84/2/[0]!alpha.x*(1-erfcconst3_1))</f>
        <v>0.0003900850637059989</v>
      </c>
      <c r="EJ105" s="1048">
        <f>EXP(EJ$84/2/[0]!alpha.x*(1-erfcconst3_1))</f>
        <v>0.00022267461068029059</v>
      </c>
      <c r="EK105" s="1048">
        <f>EXP(EK$84/2/[0]!alpha.x*(1-erfcconst3_1))</f>
        <v>0.00012711069162850509</v>
      </c>
      <c r="EL105" s="1048">
        <f>EXP(EL$84/2/[0]!alpha.x*(1-erfcconst3_1))</f>
        <v>7.255936308551491E-05</v>
      </c>
      <c r="EM105" s="1048">
        <f>EXP(EM$84/2/[0]!alpha.x*(1-erfcconst3_1))</f>
        <v>4.141949905176126E-05</v>
      </c>
      <c r="EN105" s="1048">
        <f>EXP(EN$84/2/[0]!alpha.x*(1-erfcconst3_1))</f>
        <v>2.364374256809507E-05</v>
      </c>
      <c r="EO105" s="1073">
        <f>EXP(EO$84/2/[0]!alpha.x*(1-erfcconst3_1))</f>
        <v>1.3496700235986551E-05</v>
      </c>
    </row>
    <row r="106" spans="28:145" ht="12.75">
      <c r="AB106" s="1024"/>
      <c r="AD106" s="1075"/>
      <c r="AJ106" s="1042" t="s">
        <v>124</v>
      </c>
      <c r="AK106" s="1070">
        <f aca="true" t="shared" si="146" ref="AK106:BE106">(AK$84-Vc*AK83*erfcconst3_1)/AK81</f>
        <v>-2.164810749383345</v>
      </c>
      <c r="AL106" s="1033">
        <f t="shared" si="146"/>
        <v>-1.6919876366449609</v>
      </c>
      <c r="AM106" s="1033">
        <f t="shared" si="146"/>
        <v>-1.2191645239065767</v>
      </c>
      <c r="AN106" s="1033">
        <f t="shared" si="146"/>
        <v>-0.7463414111681925</v>
      </c>
      <c r="AO106" s="1033">
        <f t="shared" si="146"/>
        <v>-0.27351829842980835</v>
      </c>
      <c r="AP106" s="1033">
        <f t="shared" si="146"/>
        <v>0.19930481430857583</v>
      </c>
      <c r="AQ106" s="1033">
        <f t="shared" si="146"/>
        <v>0.67212792704696</v>
      </c>
      <c r="AR106" s="1033">
        <f t="shared" si="146"/>
        <v>1.1449510397853442</v>
      </c>
      <c r="AS106" s="1033">
        <f t="shared" si="146"/>
        <v>1.6177741525237284</v>
      </c>
      <c r="AT106" s="1033">
        <f t="shared" si="146"/>
        <v>2.0905972652621125</v>
      </c>
      <c r="AU106" s="1033">
        <f t="shared" si="146"/>
        <v>2.5634203780004965</v>
      </c>
      <c r="AV106" s="1033">
        <f t="shared" si="146"/>
        <v>3.0362434907388813</v>
      </c>
      <c r="AW106" s="1033">
        <f t="shared" si="146"/>
        <v>3.5090666034772653</v>
      </c>
      <c r="AX106" s="1033">
        <f t="shared" si="146"/>
        <v>3.9818897162156492</v>
      </c>
      <c r="AY106" s="1033">
        <f t="shared" si="146"/>
        <v>4.454712828954033</v>
      </c>
      <c r="AZ106" s="1033">
        <f t="shared" si="146"/>
        <v>4.927535941692418</v>
      </c>
      <c r="BA106" s="1033">
        <f t="shared" si="146"/>
        <v>5.400359054430802</v>
      </c>
      <c r="BB106" s="1033">
        <f t="shared" si="146"/>
        <v>5.873182167169186</v>
      </c>
      <c r="BC106" s="1033">
        <f t="shared" si="146"/>
        <v>6.34600527990757</v>
      </c>
      <c r="BD106" s="1033">
        <f t="shared" si="146"/>
        <v>6.818828392645955</v>
      </c>
      <c r="BE106" s="1071">
        <f t="shared" si="146"/>
        <v>7.291651505384339</v>
      </c>
      <c r="BG106" s="1070">
        <f aca="true" t="shared" si="147" ref="BG106:CA106">(BG$84-Vc*BG83*erfcconst3_1)/BG81</f>
        <v>-3.0615047217573483</v>
      </c>
      <c r="BH106" s="1033">
        <f t="shared" si="147"/>
        <v>-2.7271682924383054</v>
      </c>
      <c r="BI106" s="1033">
        <f t="shared" si="147"/>
        <v>-2.3928318631192624</v>
      </c>
      <c r="BJ106" s="1033">
        <f t="shared" si="147"/>
        <v>-2.0584954338002195</v>
      </c>
      <c r="BK106" s="1033">
        <f t="shared" si="147"/>
        <v>-1.7241590044811768</v>
      </c>
      <c r="BL106" s="1033">
        <f t="shared" si="147"/>
        <v>-1.3898225751621338</v>
      </c>
      <c r="BM106" s="1033">
        <f t="shared" si="147"/>
        <v>-1.0554861458430909</v>
      </c>
      <c r="BN106" s="1033">
        <f t="shared" si="147"/>
        <v>-0.7211497165240479</v>
      </c>
      <c r="BO106" s="1033">
        <f t="shared" si="147"/>
        <v>-0.38681328720500496</v>
      </c>
      <c r="BP106" s="1033">
        <f t="shared" si="147"/>
        <v>-0.05247685788596201</v>
      </c>
      <c r="BQ106" s="1033">
        <f t="shared" si="147"/>
        <v>0.28185957143308094</v>
      </c>
      <c r="BR106" s="1033">
        <f t="shared" si="147"/>
        <v>0.6161960007521239</v>
      </c>
      <c r="BS106" s="1033">
        <f t="shared" si="147"/>
        <v>0.9505324300711668</v>
      </c>
      <c r="BT106" s="1033">
        <f t="shared" si="147"/>
        <v>1.2848688593902098</v>
      </c>
      <c r="BU106" s="1033">
        <f t="shared" si="147"/>
        <v>1.6192052887092527</v>
      </c>
      <c r="BV106" s="1033">
        <f t="shared" si="147"/>
        <v>1.9535417180282957</v>
      </c>
      <c r="BW106" s="1033">
        <f t="shared" si="147"/>
        <v>2.2878781473473384</v>
      </c>
      <c r="BX106" s="1033">
        <f t="shared" si="147"/>
        <v>2.6222145766663814</v>
      </c>
      <c r="BY106" s="1033">
        <f t="shared" si="147"/>
        <v>2.9565510059854243</v>
      </c>
      <c r="BZ106" s="1033">
        <f t="shared" si="147"/>
        <v>3.2908874353044673</v>
      </c>
      <c r="CA106" s="1071">
        <f t="shared" si="147"/>
        <v>3.62522386462351</v>
      </c>
      <c r="CC106" s="1070">
        <f aca="true" t="shared" si="148" ref="CC106:CW106">(CC$84-Vc*CC83*erfcconst3_1)/CC81</f>
        <v>-3.749562206716859</v>
      </c>
      <c r="CD106" s="1033">
        <f t="shared" si="148"/>
        <v>-3.476577655298276</v>
      </c>
      <c r="CE106" s="1033">
        <f t="shared" si="148"/>
        <v>-3.203593103879693</v>
      </c>
      <c r="CF106" s="1033">
        <f t="shared" si="148"/>
        <v>-2.93060855246111</v>
      </c>
      <c r="CG106" s="1033">
        <f t="shared" si="148"/>
        <v>-2.657624001042527</v>
      </c>
      <c r="CH106" s="1033">
        <f t="shared" si="148"/>
        <v>-2.3846394496239443</v>
      </c>
      <c r="CI106" s="1033">
        <f t="shared" si="148"/>
        <v>-2.1116548982053613</v>
      </c>
      <c r="CJ106" s="1033">
        <f t="shared" si="148"/>
        <v>-1.8386703467867787</v>
      </c>
      <c r="CK106" s="1033">
        <f t="shared" si="148"/>
        <v>-1.5656857953681957</v>
      </c>
      <c r="CL106" s="1033">
        <f t="shared" si="148"/>
        <v>-1.2927012439496128</v>
      </c>
      <c r="CM106" s="1033">
        <f t="shared" si="148"/>
        <v>-1.01971669253103</v>
      </c>
      <c r="CN106" s="1033">
        <f t="shared" si="148"/>
        <v>-0.746732141112447</v>
      </c>
      <c r="CO106" s="1033">
        <f t="shared" si="148"/>
        <v>-0.47374758969386405</v>
      </c>
      <c r="CP106" s="1033">
        <f t="shared" si="148"/>
        <v>-0.20076303827528116</v>
      </c>
      <c r="CQ106" s="1033">
        <f t="shared" si="148"/>
        <v>0.07222151314330176</v>
      </c>
      <c r="CR106" s="1033">
        <f t="shared" si="148"/>
        <v>0.3452060645618847</v>
      </c>
      <c r="CS106" s="1033">
        <f t="shared" si="148"/>
        <v>0.6181906159804675</v>
      </c>
      <c r="CT106" s="1033">
        <f t="shared" si="148"/>
        <v>0.8911751673990504</v>
      </c>
      <c r="CU106" s="1033">
        <f t="shared" si="148"/>
        <v>1.1641597188176334</v>
      </c>
      <c r="CV106" s="1033">
        <f t="shared" si="148"/>
        <v>1.4371442702362163</v>
      </c>
      <c r="CW106" s="1071">
        <f t="shared" si="148"/>
        <v>1.7101288216547992</v>
      </c>
      <c r="CY106" s="1070">
        <f aca="true" t="shared" si="149" ref="CY106:DS106">(CY$84-Vc*CY83*erfcconst3_1)/CY81</f>
        <v>-4.32962149878442</v>
      </c>
      <c r="CZ106" s="1033">
        <f t="shared" si="149"/>
        <v>-4.093209942415228</v>
      </c>
      <c r="DA106" s="1033">
        <f t="shared" si="149"/>
        <v>-3.8567983860460364</v>
      </c>
      <c r="DB106" s="1033">
        <f t="shared" si="149"/>
        <v>-3.6203868296768444</v>
      </c>
      <c r="DC106" s="1033">
        <f t="shared" si="149"/>
        <v>-3.3839752733076525</v>
      </c>
      <c r="DD106" s="1033">
        <f t="shared" si="149"/>
        <v>-3.14756371693846</v>
      </c>
      <c r="DE106" s="1033">
        <f t="shared" si="149"/>
        <v>-2.911152160569268</v>
      </c>
      <c r="DF106" s="1033">
        <f t="shared" si="149"/>
        <v>-2.674740604200076</v>
      </c>
      <c r="DG106" s="1033">
        <f t="shared" si="149"/>
        <v>-2.438329047830884</v>
      </c>
      <c r="DH106" s="1033">
        <f t="shared" si="149"/>
        <v>-2.201917491461692</v>
      </c>
      <c r="DI106" s="1033">
        <f t="shared" si="149"/>
        <v>-1.9655059350925</v>
      </c>
      <c r="DJ106" s="1033">
        <f t="shared" si="149"/>
        <v>-1.7290943787233077</v>
      </c>
      <c r="DK106" s="1033">
        <f t="shared" si="149"/>
        <v>-1.4926828223541158</v>
      </c>
      <c r="DL106" s="1033">
        <f t="shared" si="149"/>
        <v>-1.2562712659849236</v>
      </c>
      <c r="DM106" s="1033">
        <f t="shared" si="149"/>
        <v>-1.0198597096157316</v>
      </c>
      <c r="DN106" s="1033">
        <f t="shared" si="149"/>
        <v>-0.7834481532465394</v>
      </c>
      <c r="DO106" s="1033">
        <f t="shared" si="149"/>
        <v>-0.5470365968773474</v>
      </c>
      <c r="DP106" s="1033">
        <f t="shared" si="149"/>
        <v>-0.31062504050815526</v>
      </c>
      <c r="DQ106" s="1033">
        <f t="shared" si="149"/>
        <v>-0.07421348413896318</v>
      </c>
      <c r="DR106" s="1033">
        <f t="shared" si="149"/>
        <v>0.1621980722302289</v>
      </c>
      <c r="DS106" s="1071">
        <f t="shared" si="149"/>
        <v>0.39860962859942095</v>
      </c>
      <c r="DU106" s="1070">
        <f aca="true" t="shared" si="150" ref="DU106:EO106">(DU$84-Vc*DU83*erfcconst3_1)/DU81</f>
        <v>-4.840663994064565</v>
      </c>
      <c r="DV106" s="1033">
        <f t="shared" si="150"/>
        <v>-4.62921106978135</v>
      </c>
      <c r="DW106" s="1033">
        <f t="shared" si="150"/>
        <v>-4.417758145498135</v>
      </c>
      <c r="DX106" s="1033">
        <f t="shared" si="150"/>
        <v>-4.206305221214921</v>
      </c>
      <c r="DY106" s="1033">
        <f t="shared" si="150"/>
        <v>-3.994852296931706</v>
      </c>
      <c r="DZ106" s="1033">
        <f t="shared" si="150"/>
        <v>-3.7833993726484914</v>
      </c>
      <c r="EA106" s="1033">
        <f t="shared" si="150"/>
        <v>-3.5719464483652765</v>
      </c>
      <c r="EB106" s="1033">
        <f t="shared" si="150"/>
        <v>-3.3604935240820617</v>
      </c>
      <c r="EC106" s="1033">
        <f t="shared" si="150"/>
        <v>-3.149040599798847</v>
      </c>
      <c r="ED106" s="1033">
        <f t="shared" si="150"/>
        <v>-2.937587675515632</v>
      </c>
      <c r="EE106" s="1033">
        <f t="shared" si="150"/>
        <v>-2.726134751232417</v>
      </c>
      <c r="EF106" s="1033">
        <f t="shared" si="150"/>
        <v>-2.514681826949203</v>
      </c>
      <c r="EG106" s="1033">
        <f t="shared" si="150"/>
        <v>-2.303228902665988</v>
      </c>
      <c r="EH106" s="1033">
        <f t="shared" si="150"/>
        <v>-2.091775978382773</v>
      </c>
      <c r="EI106" s="1033">
        <f t="shared" si="150"/>
        <v>-1.8803230540995584</v>
      </c>
      <c r="EJ106" s="1033">
        <f t="shared" si="150"/>
        <v>-1.6688701298163435</v>
      </c>
      <c r="EK106" s="1033">
        <f t="shared" si="150"/>
        <v>-1.457417205533129</v>
      </c>
      <c r="EL106" s="1033">
        <f t="shared" si="150"/>
        <v>-1.245964281249914</v>
      </c>
      <c r="EM106" s="1033">
        <f t="shared" si="150"/>
        <v>-1.0345113569666993</v>
      </c>
      <c r="EN106" s="1033">
        <f t="shared" si="150"/>
        <v>-0.8230584326834846</v>
      </c>
      <c r="EO106" s="1071">
        <f t="shared" si="150"/>
        <v>-0.6116055084002698</v>
      </c>
    </row>
    <row r="107" spans="28:145" ht="12.75">
      <c r="AB107" s="1035" t="s">
        <v>264</v>
      </c>
      <c r="AD107" s="1050">
        <f>IF(OR(AD84=0,AD86=0),0,AD98*AD103*AD105/AD84/AD86)</f>
        <v>445.6828345964138</v>
      </c>
      <c r="AJ107" s="1046" t="s">
        <v>125</v>
      </c>
      <c r="AK107" s="1072">
        <f aca="true" t="shared" si="151" ref="AK107:BE107">gerfC(AK106)</f>
        <v>1.9977977247264924</v>
      </c>
      <c r="AL107" s="1048">
        <f t="shared" si="151"/>
        <v>1.9832811004943613</v>
      </c>
      <c r="AM107" s="1048">
        <f t="shared" si="151"/>
        <v>1.9153208615115678</v>
      </c>
      <c r="AN107" s="1048">
        <f t="shared" si="151"/>
        <v>1.708796940370484</v>
      </c>
      <c r="AO107" s="1048">
        <f t="shared" si="151"/>
        <v>1.3011055706447268</v>
      </c>
      <c r="AP107" s="1048">
        <f t="shared" si="151"/>
        <v>0.7780512205920247</v>
      </c>
      <c r="AQ107" s="1048">
        <f t="shared" si="151"/>
        <v>0.3418417947703014</v>
      </c>
      <c r="AR107" s="1048">
        <f t="shared" si="151"/>
        <v>0.10540309809741422</v>
      </c>
      <c r="AS107" s="1048">
        <f t="shared" si="151"/>
        <v>0.02214461636156917</v>
      </c>
      <c r="AT107" s="1048">
        <f t="shared" si="151"/>
        <v>0.003111007791820719</v>
      </c>
      <c r="AU107" s="1048">
        <f t="shared" si="151"/>
        <v>0.00028871127040241973</v>
      </c>
      <c r="AV107" s="1048">
        <f t="shared" si="151"/>
        <v>1.7556417683306513E-05</v>
      </c>
      <c r="AW107" s="1048">
        <f t="shared" si="151"/>
        <v>6.956663124446649E-07</v>
      </c>
      <c r="AX107" s="1048">
        <f t="shared" si="151"/>
        <v>1.7891599979336092E-08</v>
      </c>
      <c r="AY107" s="1048">
        <f t="shared" si="151"/>
        <v>2.978083335491988E-10</v>
      </c>
      <c r="AZ107" s="1048">
        <f t="shared" si="151"/>
        <v>3.201328091506639E-12</v>
      </c>
      <c r="BA107" s="1048">
        <f t="shared" si="151"/>
        <v>2.220446049250313E-14</v>
      </c>
      <c r="BB107" s="1048">
        <f t="shared" si="151"/>
        <v>1.1102230246251565E-16</v>
      </c>
      <c r="BC107" s="1048">
        <f t="shared" si="151"/>
        <v>0</v>
      </c>
      <c r="BD107" s="1048">
        <f t="shared" si="151"/>
        <v>0</v>
      </c>
      <c r="BE107" s="1073">
        <f t="shared" si="151"/>
        <v>0</v>
      </c>
      <c r="BG107" s="1072">
        <f aca="true" t="shared" si="152" ref="BG107:CA107">gerfC(BG106)</f>
        <v>1.9999850634147305</v>
      </c>
      <c r="BH107" s="1048">
        <f t="shared" si="152"/>
        <v>1.9998851181495718</v>
      </c>
      <c r="BI107" s="1048">
        <f t="shared" si="152"/>
        <v>1.9992855555750855</v>
      </c>
      <c r="BJ107" s="1048">
        <f t="shared" si="152"/>
        <v>1.9963990138785634</v>
      </c>
      <c r="BK107" s="1048">
        <f t="shared" si="152"/>
        <v>1.9852446649975621</v>
      </c>
      <c r="BL107" s="1048">
        <f t="shared" si="152"/>
        <v>1.950644294918204</v>
      </c>
      <c r="BM107" s="1048">
        <f t="shared" si="152"/>
        <v>1.8644797664002515</v>
      </c>
      <c r="BN107" s="1048">
        <f t="shared" si="152"/>
        <v>1.692204983848434</v>
      </c>
      <c r="BO107" s="1048">
        <f t="shared" si="152"/>
        <v>1.4156464580396535</v>
      </c>
      <c r="BP107" s="1048">
        <f t="shared" si="152"/>
        <v>1.05915956024309</v>
      </c>
      <c r="BQ107" s="1048">
        <f t="shared" si="152"/>
        <v>0.6901808506742</v>
      </c>
      <c r="BR107" s="1048">
        <f t="shared" si="152"/>
        <v>0.3835179162892002</v>
      </c>
      <c r="BS107" s="1048">
        <f t="shared" si="152"/>
        <v>0.17886567444796153</v>
      </c>
      <c r="BT107" s="1048">
        <f t="shared" si="152"/>
        <v>0.06920501814020885</v>
      </c>
      <c r="BU107" s="1048">
        <f t="shared" si="152"/>
        <v>0.022026991807367002</v>
      </c>
      <c r="BV107" s="1048">
        <f t="shared" si="152"/>
        <v>0.005732100452557898</v>
      </c>
      <c r="BW107" s="1048">
        <f t="shared" si="152"/>
        <v>0.0012140934827475913</v>
      </c>
      <c r="BX107" s="1048">
        <f t="shared" si="152"/>
        <v>0.00020859655672100796</v>
      </c>
      <c r="BY107" s="1048">
        <f t="shared" si="152"/>
        <v>2.8998165549798394E-05</v>
      </c>
      <c r="BZ107" s="1048">
        <f t="shared" si="152"/>
        <v>3.2552893847181963E-06</v>
      </c>
      <c r="CA107" s="1073">
        <f t="shared" si="152"/>
        <v>2.9464452155902876E-07</v>
      </c>
      <c r="CC107" s="1072">
        <f aca="true" t="shared" si="153" ref="CC107:CW107">gerfC(CC106)</f>
        <v>1.9999998858862287</v>
      </c>
      <c r="CD107" s="1048">
        <f t="shared" si="153"/>
        <v>1.9999991195023827</v>
      </c>
      <c r="CE107" s="1048">
        <f t="shared" si="153"/>
        <v>1.999994117379466</v>
      </c>
      <c r="CF107" s="1048">
        <f t="shared" si="153"/>
        <v>1.9999659453471499</v>
      </c>
      <c r="CG107" s="1048">
        <f t="shared" si="153"/>
        <v>1.999829029360257</v>
      </c>
      <c r="CH107" s="1048">
        <f t="shared" si="153"/>
        <v>1.9992548099930105</v>
      </c>
      <c r="CI107" s="1048">
        <f t="shared" si="153"/>
        <v>1.9971765313711805</v>
      </c>
      <c r="CJ107" s="1048">
        <f t="shared" si="153"/>
        <v>1.9906850255348982</v>
      </c>
      <c r="CK107" s="1048">
        <f t="shared" si="153"/>
        <v>1.9731859471010778</v>
      </c>
      <c r="CL107" s="1048">
        <f t="shared" si="153"/>
        <v>1.9324738069776477</v>
      </c>
      <c r="CM107" s="1048">
        <f t="shared" si="153"/>
        <v>1.850725034608744</v>
      </c>
      <c r="CN107" s="1048">
        <f t="shared" si="153"/>
        <v>1.7090494581527846</v>
      </c>
      <c r="CO107" s="1048">
        <f t="shared" si="153"/>
        <v>1.4971296669351428</v>
      </c>
      <c r="CP107" s="1048">
        <f t="shared" si="153"/>
        <v>1.2235296695593414</v>
      </c>
      <c r="CQ107" s="1048">
        <f t="shared" si="153"/>
        <v>0.9186481628900857</v>
      </c>
      <c r="CR107" s="1048">
        <f t="shared" si="153"/>
        <v>0.62541161450752</v>
      </c>
      <c r="CS107" s="1048">
        <f t="shared" si="153"/>
        <v>0.3819801891187323</v>
      </c>
      <c r="CT107" s="1048">
        <f t="shared" si="153"/>
        <v>0.20755684284532605</v>
      </c>
      <c r="CU107" s="1048">
        <f t="shared" si="153"/>
        <v>0.09968750741108523</v>
      </c>
      <c r="CV107" s="1048">
        <f t="shared" si="153"/>
        <v>0.042110249141926404</v>
      </c>
      <c r="CW107" s="1073">
        <f t="shared" si="153"/>
        <v>0.015585185393638068</v>
      </c>
      <c r="CY107" s="1072">
        <f aca="true" t="shared" si="154" ref="CY107:DS107">gerfC(CY106)</f>
        <v>1.9999999990817576</v>
      </c>
      <c r="CZ107" s="1048">
        <f t="shared" si="154"/>
        <v>1.9999999929055354</v>
      </c>
      <c r="DA107" s="1048">
        <f t="shared" si="154"/>
        <v>1.9999999508439865</v>
      </c>
      <c r="DB107" s="1048">
        <f t="shared" si="154"/>
        <v>1.9999996944646026</v>
      </c>
      <c r="DC107" s="1048">
        <f t="shared" si="154"/>
        <v>1.999998295768061</v>
      </c>
      <c r="DD107" s="1048">
        <f t="shared" si="154"/>
        <v>1.9999914658843359</v>
      </c>
      <c r="DE107" s="1048">
        <f t="shared" si="154"/>
        <v>1.999961614869489</v>
      </c>
      <c r="DF107" s="1048">
        <f t="shared" si="154"/>
        <v>1.9998448352262392</v>
      </c>
      <c r="DG107" s="1048">
        <f t="shared" si="154"/>
        <v>1.999435910489204</v>
      </c>
      <c r="DH107" s="1048">
        <f t="shared" si="154"/>
        <v>1.9981541897815491</v>
      </c>
      <c r="DI107" s="1048">
        <f t="shared" si="154"/>
        <v>1.9945581672993415</v>
      </c>
      <c r="DJ107" s="1048">
        <f t="shared" si="154"/>
        <v>1.9855271812960469</v>
      </c>
      <c r="DK107" s="1048">
        <f t="shared" si="154"/>
        <v>1.9652253097096257</v>
      </c>
      <c r="DL107" s="1048">
        <f t="shared" si="154"/>
        <v>1.9243718333831663</v>
      </c>
      <c r="DM107" s="1048">
        <f t="shared" si="154"/>
        <v>1.8507820760774583</v>
      </c>
      <c r="DN107" s="1048">
        <f t="shared" si="154"/>
        <v>1.73212218838448</v>
      </c>
      <c r="DO107" s="1048">
        <f t="shared" si="154"/>
        <v>1.560848364147697</v>
      </c>
      <c r="DP107" s="1048">
        <f t="shared" si="154"/>
        <v>1.3395487155560395</v>
      </c>
      <c r="DQ107" s="1048">
        <f t="shared" si="154"/>
        <v>1.08358751484813</v>
      </c>
      <c r="DR107" s="1048">
        <f t="shared" si="154"/>
        <v>0.8185715054462104</v>
      </c>
      <c r="DS107" s="1073">
        <f t="shared" si="154"/>
        <v>0.5729452395273116</v>
      </c>
      <c r="DU107" s="1072">
        <f aca="true" t="shared" si="155" ref="DU107:EO107">gerfC(DU106)</f>
        <v>1.9999999999923914</v>
      </c>
      <c r="DV107" s="1048">
        <f t="shared" si="155"/>
        <v>1.999999999941175</v>
      </c>
      <c r="DW107" s="1048">
        <f t="shared" si="155"/>
        <v>1.9999999995833353</v>
      </c>
      <c r="DX107" s="1048">
        <f t="shared" si="155"/>
        <v>1.9999999972957734</v>
      </c>
      <c r="DY107" s="1048">
        <f t="shared" si="155"/>
        <v>1.9999999839154357</v>
      </c>
      <c r="DZ107" s="1048">
        <f t="shared" si="155"/>
        <v>1.9999999123052712</v>
      </c>
      <c r="EA107" s="1048">
        <f t="shared" si="155"/>
        <v>1.9999995616348492</v>
      </c>
      <c r="EB107" s="1048">
        <f t="shared" si="155"/>
        <v>1.9999979903900638</v>
      </c>
      <c r="EC107" s="1048">
        <f t="shared" si="155"/>
        <v>1.999991548518524</v>
      </c>
      <c r="ED107" s="1048">
        <f t="shared" si="155"/>
        <v>1.999967382400829</v>
      </c>
      <c r="EE107" s="1048">
        <f t="shared" si="155"/>
        <v>1.9998844295523122</v>
      </c>
      <c r="EF107" s="1048">
        <f t="shared" si="155"/>
        <v>1.9996238813160925</v>
      </c>
      <c r="EG107" s="1048">
        <f t="shared" si="155"/>
        <v>1.998875056803263</v>
      </c>
      <c r="EH107" s="1048">
        <f t="shared" si="155"/>
        <v>1.9969057673840553</v>
      </c>
      <c r="EI107" s="1048">
        <f t="shared" si="155"/>
        <v>1.9921668520740448</v>
      </c>
      <c r="EJ107" s="1048">
        <f t="shared" si="155"/>
        <v>1.9817319014538675</v>
      </c>
      <c r="EK107" s="1048">
        <f t="shared" si="155"/>
        <v>1.9607064244371912</v>
      </c>
      <c r="EL107" s="1048">
        <f t="shared" si="155"/>
        <v>1.9219407736965117</v>
      </c>
      <c r="EM107" s="1048">
        <f t="shared" si="155"/>
        <v>1.8565380883235467</v>
      </c>
      <c r="EN107" s="1048">
        <f t="shared" si="155"/>
        <v>1.7555680275884673</v>
      </c>
      <c r="EO107" s="1073">
        <f t="shared" si="155"/>
        <v>1.612928720035515</v>
      </c>
    </row>
    <row r="108" spans="36:145" ht="12.75">
      <c r="AJ108" s="1024"/>
      <c r="AK108" s="1070"/>
      <c r="AL108" s="766"/>
      <c r="AM108" s="766"/>
      <c r="AN108" s="766"/>
      <c r="AO108" s="766"/>
      <c r="AP108" s="766"/>
      <c r="AQ108" s="766"/>
      <c r="AR108" s="766"/>
      <c r="AS108" s="766"/>
      <c r="AT108" s="766"/>
      <c r="AU108" s="766"/>
      <c r="AV108" s="766"/>
      <c r="AW108" s="766"/>
      <c r="AX108" s="766"/>
      <c r="AY108" s="766"/>
      <c r="AZ108" s="766"/>
      <c r="BA108" s="766"/>
      <c r="BB108" s="766"/>
      <c r="BC108" s="766"/>
      <c r="BD108" s="766"/>
      <c r="BE108" s="1067"/>
      <c r="BG108" s="1070"/>
      <c r="BH108" s="766"/>
      <c r="BI108" s="766"/>
      <c r="BJ108" s="766"/>
      <c r="BK108" s="766"/>
      <c r="BL108" s="766"/>
      <c r="BM108" s="766"/>
      <c r="BN108" s="766"/>
      <c r="BO108" s="766"/>
      <c r="BP108" s="766"/>
      <c r="BQ108" s="766"/>
      <c r="BR108" s="766"/>
      <c r="BS108" s="766"/>
      <c r="BT108" s="766"/>
      <c r="BU108" s="766"/>
      <c r="BV108" s="766"/>
      <c r="BW108" s="766"/>
      <c r="BX108" s="766"/>
      <c r="BY108" s="766"/>
      <c r="BZ108" s="766"/>
      <c r="CA108" s="1067"/>
      <c r="CC108" s="1070"/>
      <c r="CD108" s="766"/>
      <c r="CE108" s="766"/>
      <c r="CF108" s="766"/>
      <c r="CG108" s="766"/>
      <c r="CH108" s="766"/>
      <c r="CI108" s="766"/>
      <c r="CJ108" s="766"/>
      <c r="CK108" s="766"/>
      <c r="CL108" s="766"/>
      <c r="CM108" s="766"/>
      <c r="CN108" s="766"/>
      <c r="CO108" s="766"/>
      <c r="CP108" s="766"/>
      <c r="CQ108" s="766"/>
      <c r="CR108" s="766"/>
      <c r="CS108" s="766"/>
      <c r="CT108" s="766"/>
      <c r="CU108" s="766"/>
      <c r="CV108" s="766"/>
      <c r="CW108" s="1067"/>
      <c r="CY108" s="1070"/>
      <c r="CZ108" s="766"/>
      <c r="DA108" s="766"/>
      <c r="DB108" s="766"/>
      <c r="DC108" s="766"/>
      <c r="DD108" s="766"/>
      <c r="DE108" s="766"/>
      <c r="DF108" s="766"/>
      <c r="DG108" s="766"/>
      <c r="DH108" s="766"/>
      <c r="DI108" s="766"/>
      <c r="DJ108" s="766"/>
      <c r="DK108" s="766"/>
      <c r="DL108" s="766"/>
      <c r="DM108" s="766"/>
      <c r="DN108" s="766"/>
      <c r="DO108" s="766"/>
      <c r="DP108" s="766"/>
      <c r="DQ108" s="766"/>
      <c r="DR108" s="766"/>
      <c r="DS108" s="1067"/>
      <c r="DU108" s="1070"/>
      <c r="DV108" s="766"/>
      <c r="DW108" s="766"/>
      <c r="DX108" s="766"/>
      <c r="DY108" s="766"/>
      <c r="DZ108" s="766"/>
      <c r="EA108" s="766"/>
      <c r="EB108" s="766"/>
      <c r="EC108" s="766"/>
      <c r="ED108" s="766"/>
      <c r="EE108" s="766"/>
      <c r="EF108" s="766"/>
      <c r="EG108" s="766"/>
      <c r="EH108" s="766"/>
      <c r="EI108" s="766"/>
      <c r="EJ108" s="766"/>
      <c r="EK108" s="766"/>
      <c r="EL108" s="766"/>
      <c r="EM108" s="766"/>
      <c r="EN108" s="766"/>
      <c r="EO108" s="1067"/>
    </row>
    <row r="109" spans="36:145" ht="12.75">
      <c r="AJ109" s="1035" t="s">
        <v>264</v>
      </c>
      <c r="AK109" s="1080">
        <f>IF(OR(AK86=0,AK88=0),0,AK100*AK105*AK107/AK86/AK88)</f>
        <v>7546.731989098446</v>
      </c>
      <c r="AL109" s="1081">
        <f>IF(OR(AL86=0,AL88=0),0,AL100*AL105*AL107/AL86/AL88)</f>
        <v>4507.797568811694</v>
      </c>
      <c r="AM109" s="1081">
        <f>IF(OR(AM86=0,AM88=0),0,AM100*AM105*AM107/AM86/AM88)</f>
        <v>2618.5008850998884</v>
      </c>
      <c r="AN109" s="1081">
        <f aca="true" t="shared" si="156" ref="AN109:BD109">IF(OR(AN86=0,AN88=0),0,AN100*AN105*AN107/AN86/AN88)</f>
        <v>1402.2889815780895</v>
      </c>
      <c r="AO109" s="1081">
        <f t="shared" si="156"/>
        <v>616.6302567866701</v>
      </c>
      <c r="AP109" s="1081">
        <f t="shared" si="156"/>
        <v>208.78367481444968</v>
      </c>
      <c r="AQ109" s="1081">
        <f t="shared" si="156"/>
        <v>51.83358369025373</v>
      </c>
      <c r="AR109" s="1081">
        <f t="shared" si="156"/>
        <v>9.018013981708078</v>
      </c>
      <c r="AS109" s="1081">
        <f t="shared" si="156"/>
        <v>1.0679810352258576</v>
      </c>
      <c r="AT109" s="1081">
        <f t="shared" si="156"/>
        <v>0.08451698818277988</v>
      </c>
      <c r="AU109" s="1081">
        <f t="shared" si="156"/>
        <v>0.00441641538989791</v>
      </c>
      <c r="AV109" s="1081">
        <f t="shared" si="156"/>
        <v>0.00015118182215396908</v>
      </c>
      <c r="AW109" s="1081">
        <f t="shared" si="156"/>
        <v>3.371898524575297E-06</v>
      </c>
      <c r="AX109" s="1081">
        <f t="shared" si="156"/>
        <v>4.881214751000479E-08</v>
      </c>
      <c r="AY109" s="1081">
        <f t="shared" si="156"/>
        <v>4.5734914956062644E-10</v>
      </c>
      <c r="AZ109" s="1081">
        <f t="shared" si="156"/>
        <v>2.7677309023361455E-12</v>
      </c>
      <c r="BA109" s="1081">
        <f t="shared" si="156"/>
        <v>0</v>
      </c>
      <c r="BB109" s="1081">
        <f t="shared" si="156"/>
        <v>0</v>
      </c>
      <c r="BC109" s="1081">
        <f t="shared" si="156"/>
        <v>0</v>
      </c>
      <c r="BD109" s="1081">
        <f t="shared" si="156"/>
        <v>0</v>
      </c>
      <c r="BE109" s="1082">
        <f>IF(OR(BE86=0,BE88=0),0,BE100*BE105*BE107/BE86/BE88)</f>
        <v>0</v>
      </c>
      <c r="BF109" s="1035"/>
      <c r="BG109" s="1080">
        <f>IF(OR(BG86=0,BG88=0),0,BG100*BG105*BG107/BG86/BG88)</f>
        <v>6342.04127238361</v>
      </c>
      <c r="BH109" s="1081">
        <f>IF(OR(BH86=0,BH88=0),0,BH100*BH105*BH107/BH86/BH88)</f>
        <v>3815.751462369043</v>
      </c>
      <c r="BI109" s="1081">
        <f>IF(OR(BI86=0,BI88=0),0,BI100*BI105*BI107/BI86/BI88)</f>
        <v>2294.462231853631</v>
      </c>
      <c r="BJ109" s="1081">
        <f aca="true" t="shared" si="157" ref="BJ109:CA109">IF(OR(BJ86=0,BJ88=0),0,BJ100*BJ105*BJ107/BJ86/BJ88)</f>
        <v>1375.2742436536062</v>
      </c>
      <c r="BK109" s="1081">
        <f t="shared" si="157"/>
        <v>818.3945642034984</v>
      </c>
      <c r="BL109" s="1081">
        <f t="shared" si="157"/>
        <v>479.9151790935486</v>
      </c>
      <c r="BM109" s="1081">
        <f t="shared" si="157"/>
        <v>273.21431976280985</v>
      </c>
      <c r="BN109" s="1081">
        <f t="shared" si="157"/>
        <v>144.78064193291152</v>
      </c>
      <c r="BO109" s="1081">
        <f t="shared" si="157"/>
        <v>68.27318862000261</v>
      </c>
      <c r="BP109" s="1081">
        <f t="shared" si="157"/>
        <v>28.774269313016962</v>
      </c>
      <c r="BQ109" s="1081">
        <f t="shared" si="157"/>
        <v>10.55769428911363</v>
      </c>
      <c r="BR109" s="1081">
        <f t="shared" si="157"/>
        <v>3.3025494414174092</v>
      </c>
      <c r="BS109" s="1081">
        <f t="shared" si="157"/>
        <v>0.8669629288916016</v>
      </c>
      <c r="BT109" s="1081">
        <f t="shared" si="157"/>
        <v>0.18880623073363514</v>
      </c>
      <c r="BU109" s="1081">
        <f t="shared" si="157"/>
        <v>0.03382721312872169</v>
      </c>
      <c r="BV109" s="1081">
        <f t="shared" si="157"/>
        <v>0.004955728092953134</v>
      </c>
      <c r="BW109" s="1081">
        <f t="shared" si="157"/>
        <v>0.0005910112177385869</v>
      </c>
      <c r="BX109" s="1081">
        <f t="shared" si="157"/>
        <v>5.718472597072254E-05</v>
      </c>
      <c r="BY109" s="1081">
        <f t="shared" si="157"/>
        <v>4.477758156916207E-06</v>
      </c>
      <c r="BZ109" s="1081">
        <f t="shared" si="157"/>
        <v>2.831982329965697E-07</v>
      </c>
      <c r="CA109" s="1082">
        <f t="shared" si="157"/>
        <v>1.4444663116359758E-08</v>
      </c>
      <c r="CB109" s="1035"/>
      <c r="CC109" s="1080">
        <f>IF(OR(CC86=0,CC88=0),0,CC100*CC105*CC107/CC86/CC88)</f>
        <v>5323.866806110317</v>
      </c>
      <c r="CD109" s="1081">
        <f>IF(OR(CD86=0,CD88=0),0,CD100*CD105*CD107/CD86/CD88)</f>
        <v>3203.3156398022697</v>
      </c>
      <c r="CE109" s="1081">
        <f>IF(OR(CE86=0,CE88=0),0,CE100*CE105*CE107/CE86/CE88)</f>
        <v>1926.7692308004846</v>
      </c>
      <c r="CF109" s="1081">
        <f aca="true" t="shared" si="158" ref="CF109:CW109">IF(OR(CF86=0,CF88=0),0,CF100*CF105*CF107/CF86/CF88)</f>
        <v>1156.5368169957612</v>
      </c>
      <c r="CG109" s="1081">
        <f t="shared" si="158"/>
        <v>692.0483950331079</v>
      </c>
      <c r="CH109" s="1081">
        <f t="shared" si="158"/>
        <v>412.9043450045148</v>
      </c>
      <c r="CI109" s="1081">
        <f t="shared" si="158"/>
        <v>245.672834314348</v>
      </c>
      <c r="CJ109" s="1081">
        <f t="shared" si="158"/>
        <v>145.63854621480056</v>
      </c>
      <c r="CK109" s="1081">
        <f t="shared" si="158"/>
        <v>85.77116372965855</v>
      </c>
      <c r="CL109" s="1081">
        <f t="shared" si="158"/>
        <v>49.87651378128697</v>
      </c>
      <c r="CM109" s="1081">
        <f t="shared" si="158"/>
        <v>28.310534998937452</v>
      </c>
      <c r="CN109" s="1081">
        <f t="shared" si="158"/>
        <v>14.716966518771592</v>
      </c>
      <c r="CO109" s="1081">
        <f t="shared" si="158"/>
        <v>7.256595906299628</v>
      </c>
      <c r="CP109" s="1081">
        <f t="shared" si="158"/>
        <v>3.3380530965578936</v>
      </c>
      <c r="CQ109" s="1081">
        <f t="shared" si="158"/>
        <v>1.4107830732473563</v>
      </c>
      <c r="CR109" s="1081">
        <f t="shared" si="158"/>
        <v>0.540704046156593</v>
      </c>
      <c r="CS109" s="1081">
        <f t="shared" si="158"/>
        <v>0.18594497040884939</v>
      </c>
      <c r="CT109" s="1081">
        <f t="shared" si="158"/>
        <v>0.05689969848031987</v>
      </c>
      <c r="CU109" s="1081">
        <f t="shared" si="158"/>
        <v>0.015393268539214026</v>
      </c>
      <c r="CV109" s="1081">
        <f t="shared" si="158"/>
        <v>0.0036634371752086938</v>
      </c>
      <c r="CW109" s="1082">
        <f t="shared" si="158"/>
        <v>0.0007640486625237042</v>
      </c>
      <c r="CX109" s="1035"/>
      <c r="CY109" s="1080">
        <f>IF(OR(CY86=0,CY88=0),0,CY100*CY105*CY107/CY86/CY88)</f>
        <v>4469.120917896559</v>
      </c>
      <c r="CZ109" s="1081">
        <f>IF(OR(CZ86=0,CZ88=0),0,CZ100*CZ105*CZ107/CZ86/CZ88)</f>
        <v>2689.024894012219</v>
      </c>
      <c r="DA109" s="1081">
        <f>IF(OR(DA86=0,DA88=0),0,DA100*DA105*DA107/DA86/DA88)</f>
        <v>1617.431392542812</v>
      </c>
      <c r="DB109" s="1081">
        <f aca="true" t="shared" si="159" ref="DB109:DS109">IF(OR(DB86=0,DB88=0),0,DB100*DB105*DB107/DB86/DB88)</f>
        <v>970.8713605953503</v>
      </c>
      <c r="DC109" s="1081">
        <f t="shared" si="159"/>
        <v>580.9892839235441</v>
      </c>
      <c r="DD109" s="1081">
        <f t="shared" si="159"/>
        <v>346.7403194259291</v>
      </c>
      <c r="DE109" s="1081">
        <f t="shared" si="159"/>
        <v>206.51768190694565</v>
      </c>
      <c r="DF109" s="1081">
        <f t="shared" si="159"/>
        <v>122.81883830935023</v>
      </c>
      <c r="DG109" s="1081">
        <f t="shared" si="159"/>
        <v>72.95846290683532</v>
      </c>
      <c r="DH109" s="1081">
        <f t="shared" si="159"/>
        <v>43.2918725113795</v>
      </c>
      <c r="DI109" s="1081">
        <f t="shared" si="159"/>
        <v>25.64773359024501</v>
      </c>
      <c r="DJ109" s="1081">
        <f t="shared" si="159"/>
        <v>15.149464092765006</v>
      </c>
      <c r="DK109" s="1081">
        <f t="shared" si="159"/>
        <v>8.896215315782296</v>
      </c>
      <c r="DL109" s="1081">
        <f t="shared" si="159"/>
        <v>5.1683128226483435</v>
      </c>
      <c r="DM109" s="1081">
        <f t="shared" si="159"/>
        <v>2.842276434739995</v>
      </c>
      <c r="DN109" s="1081">
        <f t="shared" si="159"/>
        <v>1.4975185205580148</v>
      </c>
      <c r="DO109" s="1081">
        <f t="shared" si="159"/>
        <v>0.7598087836799583</v>
      </c>
      <c r="DP109" s="1081">
        <f t="shared" si="159"/>
        <v>0.36722430814597834</v>
      </c>
      <c r="DQ109" s="1081">
        <f t="shared" si="159"/>
        <v>0.1673224061367395</v>
      </c>
      <c r="DR109" s="1081">
        <f t="shared" si="159"/>
        <v>0.07121271768094335</v>
      </c>
      <c r="DS109" s="1082">
        <f t="shared" si="159"/>
        <v>0.028088087045718448</v>
      </c>
      <c r="DT109" s="1035"/>
      <c r="DU109" s="1080">
        <f>IF(OR(DU86=0,DU88=0),0,DU100*DU105*DU107/DU86/DU88)</f>
        <v>3751.6041225001413</v>
      </c>
      <c r="DV109" s="1081">
        <f>IF(OR(DV86=0,DV88=0),0,DV100*DV105*DV107/DV86/DV88)</f>
        <v>2257.3022959344903</v>
      </c>
      <c r="DW109" s="1081">
        <f>IF(OR(DW86=0,DW88=0),0,DW100*DW105*DW107/DW86/DW88)</f>
        <v>1357.7530204960608</v>
      </c>
      <c r="DX109" s="1081">
        <f aca="true" t="shared" si="160" ref="DX109:EO109">IF(OR(DX86=0,DX88=0),0,DX100*DX105*DX107/DX86/DX88)</f>
        <v>814.9982100702665</v>
      </c>
      <c r="DY109" s="1081">
        <f t="shared" si="160"/>
        <v>487.71193966917133</v>
      </c>
      <c r="DZ109" s="1081">
        <f t="shared" si="160"/>
        <v>291.0724343363241</v>
      </c>
      <c r="EA109" s="1081">
        <f t="shared" si="160"/>
        <v>173.3645835570892</v>
      </c>
      <c r="EB109" s="1081">
        <f t="shared" si="160"/>
        <v>103.10818516407667</v>
      </c>
      <c r="EC109" s="1081">
        <f t="shared" si="160"/>
        <v>61.26201075479136</v>
      </c>
      <c r="ED109" s="1081">
        <f t="shared" si="160"/>
        <v>36.374345250001255</v>
      </c>
      <c r="EE109" s="1081">
        <f t="shared" si="160"/>
        <v>21.587486842483834</v>
      </c>
      <c r="EF109" s="1081">
        <f t="shared" si="160"/>
        <v>12.807508333335512</v>
      </c>
      <c r="EG109" s="1081">
        <f t="shared" si="160"/>
        <v>7.595799361179501</v>
      </c>
      <c r="EH109" s="1081">
        <f t="shared" si="160"/>
        <v>4.502070287428981</v>
      </c>
      <c r="EI109" s="1081">
        <f t="shared" si="160"/>
        <v>2.664859734704624</v>
      </c>
      <c r="EJ109" s="1081">
        <f t="shared" si="160"/>
        <v>1.5730330417968288</v>
      </c>
      <c r="EK109" s="1081">
        <f t="shared" si="160"/>
        <v>0.9236705287548723</v>
      </c>
      <c r="EL109" s="1081">
        <f t="shared" si="160"/>
        <v>0.5268814509857381</v>
      </c>
      <c r="EM109" s="1081">
        <f t="shared" si="160"/>
        <v>0.28667774016050396</v>
      </c>
      <c r="EN109" s="1081">
        <f t="shared" si="160"/>
        <v>0.15272797731970808</v>
      </c>
      <c r="EO109" s="1082">
        <f t="shared" si="160"/>
        <v>0.07907227281314587</v>
      </c>
    </row>
  </sheetData>
  <sheetProtection/>
  <mergeCells count="10">
    <mergeCell ref="B1:L1"/>
    <mergeCell ref="B2:F2"/>
    <mergeCell ref="P20:Q22"/>
    <mergeCell ref="B20:H20"/>
    <mergeCell ref="L20:N20"/>
    <mergeCell ref="I20:I22"/>
    <mergeCell ref="J20:K22"/>
    <mergeCell ref="M22:N22"/>
    <mergeCell ref="L21:M21"/>
    <mergeCell ref="O20:O22"/>
  </mergeCells>
  <printOptions/>
  <pageMargins left="0.57" right="0.4" top="0.44" bottom="0.37" header="0.2" footer="0.18"/>
  <pageSetup blackAndWhite="1" horizontalDpi="600" verticalDpi="600" orientation="portrait" scale="67" r:id="rId4"/>
  <headerFooter alignWithMargins="0">
    <oddHeader>&amp;LWashington State Department of Ecology: TCP program&amp;R&amp;D</oddHeader>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89" zoomScalePageLayoutView="0" workbookViewId="0" topLeftCell="A2">
      <selection activeCell="A1" sqref="A1"/>
    </sheetView>
  </sheetViews>
  <sheetFormatPr defaultColWidth="9.00390625" defaultRowHeight="12.75"/>
  <cols>
    <col min="1" max="13" width="8.875" style="856" customWidth="1"/>
    <col min="14" max="14" width="9.125" style="856" customWidth="1"/>
    <col min="15" max="15" width="14.625" style="856" customWidth="1"/>
    <col min="16" max="16" width="16.25390625" style="856" customWidth="1"/>
    <col min="17" max="16384" width="8.875" style="856" customWidth="1"/>
  </cols>
  <sheetData>
    <row r="1" ht="1.5" customHeight="1"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98" ht="140.25" customHeight="1"/>
  </sheetData>
  <sheetProtection/>
  <printOptions horizontalCentered="1" verticalCentered="1"/>
  <pageMargins left="0.17" right="0.32" top="0.64" bottom="0.69" header="0.5" footer="0.5"/>
  <pageSetup blackAndWhite="1" fitToHeight="1" fitToWidth="1" horizontalDpi="600" verticalDpi="600" orientation="portrait" paperSize="5"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B: Natural Attenuation Analysis Tools</dc:title>
  <dc:subject>Natural Attenuation Analytical Modeling</dc:subject>
  <dc:creator>by Hun Seak Park (WA DOE)</dc:creator>
  <cp:keywords/>
  <dc:description>
</dc:description>
  <cp:lastModifiedBy>hpar461</cp:lastModifiedBy>
  <cp:lastPrinted>2005-07-19T22:29:47Z</cp:lastPrinted>
  <dcterms:created xsi:type="dcterms:W3CDTF">2003-01-20T19:09:51Z</dcterms:created>
  <dcterms:modified xsi:type="dcterms:W3CDTF">2008-09-09T20:52:01Z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